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bookViews>
    <workbookView xWindow="120" yWindow="15" windowWidth="11820" windowHeight="5160" firstSheet="6" activeTab="7"/>
  </bookViews>
  <sheets>
    <sheet name="General Notes" sheetId="15" r:id="rId1"/>
    <sheet name="InH-eMBB (4GHz, NR DDDSU)" sheetId="1" r:id="rId2"/>
    <sheet name="InH-eMBB (4GHz, NR DSUUD)" sheetId="12" r:id="rId3"/>
    <sheet name="DU-eMBB (4GHz, NR DDDSU)" sheetId="2" r:id="rId4"/>
    <sheet name="DU-eMBB (4GHz, NR DSUUD)" sheetId="13" r:id="rId5"/>
    <sheet name="Rural-eMBB (700MHz, NR FDD)" sheetId="6" r:id="rId6"/>
    <sheet name="Rural-eMBB (700MHz, NR DSUUD)" sheetId="14" r:id="rId7"/>
    <sheet name="UMa-mMTC (NB-IoT)" sheetId="7" r:id="rId8"/>
    <sheet name="UMa-URLLC (700MHz NR)" sheetId="3" r:id="rId9"/>
    <sheet name="MaxN_RB" sheetId="10" r:id="rId10"/>
  </sheets>
  <definedNames>
    <definedName name="OLE_LINK1" localSheetId="1">'InH-eMBB (4GHz, NR DDDSU)'!$A$61</definedName>
  </definedNames>
  <calcPr calcId="152511"/>
</workbook>
</file>

<file path=xl/calcChain.xml><?xml version="1.0" encoding="utf-8"?>
<calcChain xmlns="http://schemas.openxmlformats.org/spreadsheetml/2006/main">
  <c r="I60" i="3" l="1"/>
  <c r="H60" i="3"/>
  <c r="G60" i="3"/>
  <c r="F60" i="3"/>
  <c r="H43" i="3"/>
  <c r="F43" i="3"/>
  <c r="D43" i="3"/>
  <c r="B43" i="3"/>
  <c r="I42" i="3"/>
  <c r="G42" i="3"/>
  <c r="E42" i="3"/>
  <c r="C42" i="3"/>
  <c r="H41" i="3"/>
  <c r="H45" i="3" s="1"/>
  <c r="H52" i="3" s="1"/>
  <c r="F41" i="3"/>
  <c r="F45" i="3" s="1"/>
  <c r="F52" i="3" s="1"/>
  <c r="D41" i="3"/>
  <c r="D45" i="3" s="1"/>
  <c r="D52" i="3" s="1"/>
  <c r="D54" i="3" s="1"/>
  <c r="D63" i="3" s="1"/>
  <c r="D66" i="3" s="1"/>
  <c r="D68" i="3" s="1"/>
  <c r="B41" i="3"/>
  <c r="B45" i="3" s="1"/>
  <c r="B52" i="3" s="1"/>
  <c r="I40" i="3"/>
  <c r="I44" i="3" s="1"/>
  <c r="I51" i="3" s="1"/>
  <c r="G40" i="3"/>
  <c r="G44" i="3" s="1"/>
  <c r="G51" i="3" s="1"/>
  <c r="E40" i="3"/>
  <c r="E44" i="3" s="1"/>
  <c r="E51" i="3" s="1"/>
  <c r="C40" i="3"/>
  <c r="C44" i="3" s="1"/>
  <c r="C51" i="3" s="1"/>
  <c r="I34" i="3"/>
  <c r="H34" i="3"/>
  <c r="G34" i="3"/>
  <c r="F34" i="3"/>
  <c r="E34" i="3"/>
  <c r="D34" i="3"/>
  <c r="C34" i="3"/>
  <c r="B34" i="3"/>
  <c r="I24" i="3"/>
  <c r="H24" i="3"/>
  <c r="G24" i="3"/>
  <c r="F24" i="3"/>
  <c r="E24" i="3"/>
  <c r="D24" i="3"/>
  <c r="C24" i="3"/>
  <c r="B24" i="3"/>
  <c r="I22" i="3"/>
  <c r="I29" i="3" s="1"/>
  <c r="H22" i="3"/>
  <c r="H29" i="3" s="1"/>
  <c r="H54" i="3" s="1"/>
  <c r="H63" i="3" s="1"/>
  <c r="H66" i="3" s="1"/>
  <c r="H68" i="3" s="1"/>
  <c r="G22" i="3"/>
  <c r="G29" i="3" s="1"/>
  <c r="F22" i="3"/>
  <c r="F29" i="3" s="1"/>
  <c r="F54" i="3" s="1"/>
  <c r="F63" i="3" s="1"/>
  <c r="F66" i="3" s="1"/>
  <c r="F68" i="3" s="1"/>
  <c r="E22" i="3"/>
  <c r="E29" i="3" s="1"/>
  <c r="D22" i="3"/>
  <c r="D29" i="3" s="1"/>
  <c r="C22" i="3"/>
  <c r="C29" i="3" s="1"/>
  <c r="B22" i="3"/>
  <c r="B29" i="3" s="1"/>
  <c r="B54" i="3" s="1"/>
  <c r="B63" i="3" s="1"/>
  <c r="B66" i="3" s="1"/>
  <c r="B68" i="3" s="1"/>
  <c r="H11" i="3"/>
  <c r="H14" i="3" s="1"/>
  <c r="F11" i="3"/>
  <c r="F14" i="3" s="1"/>
  <c r="D11" i="3"/>
  <c r="D14" i="3" s="1"/>
  <c r="B11" i="3"/>
  <c r="B14" i="3" s="1"/>
  <c r="I59" i="7"/>
  <c r="H59" i="7"/>
  <c r="E59" i="7"/>
  <c r="D59" i="7"/>
  <c r="H42" i="7"/>
  <c r="F42" i="7"/>
  <c r="D42" i="7"/>
  <c r="D13" i="7" s="1"/>
  <c r="B42" i="7"/>
  <c r="I41" i="7"/>
  <c r="G41" i="7"/>
  <c r="E41" i="7"/>
  <c r="C41" i="7"/>
  <c r="H40" i="7"/>
  <c r="H44" i="7" s="1"/>
  <c r="H51" i="7" s="1"/>
  <c r="F40" i="7"/>
  <c r="F44" i="7" s="1"/>
  <c r="F51" i="7" s="1"/>
  <c r="D40" i="7"/>
  <c r="D44" i="7" s="1"/>
  <c r="D51" i="7" s="1"/>
  <c r="B40" i="7"/>
  <c r="B44" i="7" s="1"/>
  <c r="B51" i="7" s="1"/>
  <c r="I39" i="7"/>
  <c r="I43" i="7" s="1"/>
  <c r="I50" i="7" s="1"/>
  <c r="G39" i="7"/>
  <c r="G43" i="7" s="1"/>
  <c r="G50" i="7" s="1"/>
  <c r="E39" i="7"/>
  <c r="E43" i="7" s="1"/>
  <c r="E50" i="7" s="1"/>
  <c r="C39" i="7"/>
  <c r="C43" i="7" s="1"/>
  <c r="C50" i="7" s="1"/>
  <c r="I33" i="7"/>
  <c r="H33" i="7"/>
  <c r="G33" i="7"/>
  <c r="F33" i="7"/>
  <c r="E33" i="7"/>
  <c r="D33" i="7"/>
  <c r="C33" i="7"/>
  <c r="B33" i="7"/>
  <c r="C28" i="7"/>
  <c r="I23" i="7"/>
  <c r="H23" i="7"/>
  <c r="G23" i="7"/>
  <c r="G27" i="7" s="1"/>
  <c r="G52" i="7" s="1"/>
  <c r="G61" i="7" s="1"/>
  <c r="G65" i="7" s="1"/>
  <c r="G67" i="7" s="1"/>
  <c r="F23" i="7"/>
  <c r="E23" i="7"/>
  <c r="D23" i="7"/>
  <c r="C23" i="7"/>
  <c r="B23" i="7"/>
  <c r="G21" i="7"/>
  <c r="G28" i="7" s="1"/>
  <c r="E21" i="7"/>
  <c r="E28" i="7" s="1"/>
  <c r="D21" i="7"/>
  <c r="D28" i="7" s="1"/>
  <c r="C21" i="7"/>
  <c r="C27" i="7" s="1"/>
  <c r="C52" i="7" s="1"/>
  <c r="C61" i="7" s="1"/>
  <c r="C65" i="7" s="1"/>
  <c r="C67" i="7" s="1"/>
  <c r="B21" i="7"/>
  <c r="B28" i="7" s="1"/>
  <c r="B53" i="7" s="1"/>
  <c r="B62" i="7" s="1"/>
  <c r="B66" i="7" s="1"/>
  <c r="B68" i="7" s="1"/>
  <c r="I20" i="7"/>
  <c r="I21" i="7" s="1"/>
  <c r="H20" i="7"/>
  <c r="H21" i="7" s="1"/>
  <c r="G20" i="7"/>
  <c r="F20" i="7"/>
  <c r="F21" i="7" s="1"/>
  <c r="H13" i="7"/>
  <c r="F13" i="7"/>
  <c r="B13" i="7"/>
  <c r="E50" i="14"/>
  <c r="E43" i="14"/>
  <c r="H42" i="14"/>
  <c r="F42" i="14"/>
  <c r="D42" i="14"/>
  <c r="B42" i="14"/>
  <c r="I41" i="14"/>
  <c r="G41" i="14"/>
  <c r="E41" i="14"/>
  <c r="C41" i="14"/>
  <c r="H40" i="14"/>
  <c r="H44" i="14" s="1"/>
  <c r="H51" i="14" s="1"/>
  <c r="F40" i="14"/>
  <c r="F44" i="14" s="1"/>
  <c r="F51" i="14" s="1"/>
  <c r="D40" i="14"/>
  <c r="D44" i="14" s="1"/>
  <c r="D51" i="14" s="1"/>
  <c r="B40" i="14"/>
  <c r="B44" i="14" s="1"/>
  <c r="B51" i="14" s="1"/>
  <c r="I39" i="14"/>
  <c r="I43" i="14" s="1"/>
  <c r="I50" i="14" s="1"/>
  <c r="G39" i="14"/>
  <c r="G43" i="14" s="1"/>
  <c r="G50" i="14" s="1"/>
  <c r="E39" i="14"/>
  <c r="C39" i="14"/>
  <c r="C43" i="14" s="1"/>
  <c r="C50" i="14" s="1"/>
  <c r="I33" i="14"/>
  <c r="H33" i="14"/>
  <c r="G33" i="14"/>
  <c r="F33" i="14"/>
  <c r="E33" i="14"/>
  <c r="D33" i="14"/>
  <c r="C33" i="14"/>
  <c r="B33" i="14"/>
  <c r="G28" i="14"/>
  <c r="C28" i="14"/>
  <c r="C27" i="14"/>
  <c r="C52" i="14" s="1"/>
  <c r="C62" i="14" s="1"/>
  <c r="C65" i="14" s="1"/>
  <c r="C67" i="14" s="1"/>
  <c r="I23" i="14"/>
  <c r="H23" i="14"/>
  <c r="G23" i="14"/>
  <c r="F23" i="14"/>
  <c r="E23" i="14"/>
  <c r="D23" i="14"/>
  <c r="C23" i="14"/>
  <c r="B23" i="14"/>
  <c r="I21" i="14"/>
  <c r="I28" i="14" s="1"/>
  <c r="H21" i="14"/>
  <c r="H28" i="14" s="1"/>
  <c r="G21" i="14"/>
  <c r="G27" i="14" s="1"/>
  <c r="G52" i="14" s="1"/>
  <c r="G62" i="14" s="1"/>
  <c r="G65" i="14" s="1"/>
  <c r="G67" i="14" s="1"/>
  <c r="F21" i="14"/>
  <c r="F28" i="14" s="1"/>
  <c r="F53" i="14" s="1"/>
  <c r="F63" i="14" s="1"/>
  <c r="F66" i="14" s="1"/>
  <c r="F68" i="14" s="1"/>
  <c r="E21" i="14"/>
  <c r="E28" i="14" s="1"/>
  <c r="D21" i="14"/>
  <c r="D28" i="14" s="1"/>
  <c r="D53" i="14" s="1"/>
  <c r="D63" i="14" s="1"/>
  <c r="D66" i="14" s="1"/>
  <c r="D68" i="14" s="1"/>
  <c r="C21" i="14"/>
  <c r="B21" i="14"/>
  <c r="B28" i="14" s="1"/>
  <c r="B53" i="14" s="1"/>
  <c r="B63" i="14" s="1"/>
  <c r="B66" i="14" s="1"/>
  <c r="B68" i="14" s="1"/>
  <c r="D13" i="14"/>
  <c r="H10" i="14"/>
  <c r="H13" i="14" s="1"/>
  <c r="F10" i="14"/>
  <c r="F13" i="14" s="1"/>
  <c r="D10" i="14"/>
  <c r="B10" i="14"/>
  <c r="B13" i="14" s="1"/>
  <c r="I9" i="14"/>
  <c r="G9" i="14"/>
  <c r="E9" i="14"/>
  <c r="C9" i="14"/>
  <c r="I59" i="6"/>
  <c r="H59" i="6"/>
  <c r="G59" i="6"/>
  <c r="F59" i="6"/>
  <c r="E59" i="6"/>
  <c r="D59" i="6"/>
  <c r="C59" i="6"/>
  <c r="B59" i="6"/>
  <c r="E43" i="6"/>
  <c r="E50" i="6" s="1"/>
  <c r="H42" i="6"/>
  <c r="F42" i="6"/>
  <c r="D42" i="6"/>
  <c r="B42" i="6"/>
  <c r="I41" i="6"/>
  <c r="G41" i="6"/>
  <c r="E41" i="6"/>
  <c r="C41" i="6"/>
  <c r="H40" i="6"/>
  <c r="H44" i="6" s="1"/>
  <c r="H51" i="6" s="1"/>
  <c r="F40" i="6"/>
  <c r="F44" i="6" s="1"/>
  <c r="F51" i="6" s="1"/>
  <c r="D40" i="6"/>
  <c r="D44" i="6" s="1"/>
  <c r="D51" i="6" s="1"/>
  <c r="D53" i="6" s="1"/>
  <c r="D62" i="6" s="1"/>
  <c r="D65" i="6" s="1"/>
  <c r="D67" i="6" s="1"/>
  <c r="B40" i="6"/>
  <c r="B44" i="6" s="1"/>
  <c r="B51" i="6" s="1"/>
  <c r="I39" i="6"/>
  <c r="I43" i="6" s="1"/>
  <c r="I50" i="6" s="1"/>
  <c r="G39" i="6"/>
  <c r="G43" i="6" s="1"/>
  <c r="G50" i="6" s="1"/>
  <c r="E39" i="6"/>
  <c r="C39" i="6"/>
  <c r="C43" i="6" s="1"/>
  <c r="C50" i="6" s="1"/>
  <c r="I33" i="6"/>
  <c r="H33" i="6"/>
  <c r="G33" i="6"/>
  <c r="F33" i="6"/>
  <c r="E33" i="6"/>
  <c r="D33" i="6"/>
  <c r="C33" i="6"/>
  <c r="B33" i="6"/>
  <c r="C27" i="6"/>
  <c r="C52" i="6" s="1"/>
  <c r="C61" i="6" s="1"/>
  <c r="C64" i="6" s="1"/>
  <c r="C66" i="6" s="1"/>
  <c r="I23" i="6"/>
  <c r="H23" i="6"/>
  <c r="G23" i="6"/>
  <c r="F23" i="6"/>
  <c r="E23" i="6"/>
  <c r="D23" i="6"/>
  <c r="C23" i="6"/>
  <c r="B23" i="6"/>
  <c r="I21" i="6"/>
  <c r="I28" i="6" s="1"/>
  <c r="H21" i="6"/>
  <c r="H28" i="6" s="1"/>
  <c r="G21" i="6"/>
  <c r="G27" i="6" s="1"/>
  <c r="G52" i="6" s="1"/>
  <c r="G61" i="6" s="1"/>
  <c r="G64" i="6" s="1"/>
  <c r="G66" i="6" s="1"/>
  <c r="F21" i="6"/>
  <c r="F28" i="6" s="1"/>
  <c r="F53" i="6" s="1"/>
  <c r="F62" i="6" s="1"/>
  <c r="F65" i="6" s="1"/>
  <c r="F67" i="6" s="1"/>
  <c r="E21" i="6"/>
  <c r="E28" i="6" s="1"/>
  <c r="D21" i="6"/>
  <c r="D28" i="6" s="1"/>
  <c r="C21" i="6"/>
  <c r="C28" i="6" s="1"/>
  <c r="B21" i="6"/>
  <c r="B28" i="6" s="1"/>
  <c r="B53" i="6" s="1"/>
  <c r="B62" i="6" s="1"/>
  <c r="B65" i="6" s="1"/>
  <c r="B67" i="6" s="1"/>
  <c r="H10" i="6"/>
  <c r="H13" i="6" s="1"/>
  <c r="F10" i="6"/>
  <c r="F13" i="6" s="1"/>
  <c r="D10" i="6"/>
  <c r="D13" i="6" s="1"/>
  <c r="B10" i="6"/>
  <c r="B13" i="6" s="1"/>
  <c r="I9" i="6"/>
  <c r="G9" i="6"/>
  <c r="E9" i="6"/>
  <c r="C9" i="6"/>
  <c r="H42" i="13"/>
  <c r="F42" i="13"/>
  <c r="D42" i="13"/>
  <c r="D13" i="13" s="1"/>
  <c r="B42" i="13"/>
  <c r="I41" i="13"/>
  <c r="G41" i="13"/>
  <c r="E41" i="13"/>
  <c r="C41" i="13"/>
  <c r="H40" i="13"/>
  <c r="H44" i="13" s="1"/>
  <c r="H51" i="13" s="1"/>
  <c r="F40" i="13"/>
  <c r="F44" i="13" s="1"/>
  <c r="F51" i="13" s="1"/>
  <c r="D40" i="13"/>
  <c r="D44" i="13" s="1"/>
  <c r="D51" i="13" s="1"/>
  <c r="D53" i="13" s="1"/>
  <c r="D62" i="13" s="1"/>
  <c r="D65" i="13" s="1"/>
  <c r="D67" i="13" s="1"/>
  <c r="B40" i="13"/>
  <c r="B44" i="13" s="1"/>
  <c r="B51" i="13" s="1"/>
  <c r="I39" i="13"/>
  <c r="I43" i="13" s="1"/>
  <c r="I50" i="13" s="1"/>
  <c r="G39" i="13"/>
  <c r="G43" i="13" s="1"/>
  <c r="G50" i="13" s="1"/>
  <c r="E39" i="13"/>
  <c r="E43" i="13" s="1"/>
  <c r="E50" i="13" s="1"/>
  <c r="C39" i="13"/>
  <c r="C43" i="13" s="1"/>
  <c r="C50" i="13" s="1"/>
  <c r="I33" i="13"/>
  <c r="H33" i="13"/>
  <c r="G33" i="13"/>
  <c r="F33" i="13"/>
  <c r="E33" i="13"/>
  <c r="D33" i="13"/>
  <c r="C33" i="13"/>
  <c r="B33" i="13"/>
  <c r="I23" i="13"/>
  <c r="H23" i="13"/>
  <c r="G23" i="13"/>
  <c r="F23" i="13"/>
  <c r="E23" i="13"/>
  <c r="D23" i="13"/>
  <c r="C23" i="13"/>
  <c r="B23" i="13"/>
  <c r="I21" i="13"/>
  <c r="I28" i="13" s="1"/>
  <c r="H21" i="13"/>
  <c r="H28" i="13" s="1"/>
  <c r="H53" i="13" s="1"/>
  <c r="H62" i="13" s="1"/>
  <c r="H65" i="13" s="1"/>
  <c r="H67" i="13" s="1"/>
  <c r="G21" i="13"/>
  <c r="G28" i="13" s="1"/>
  <c r="F21" i="13"/>
  <c r="F28" i="13" s="1"/>
  <c r="E21" i="13"/>
  <c r="E28" i="13" s="1"/>
  <c r="D21" i="13"/>
  <c r="D28" i="13" s="1"/>
  <c r="C21" i="13"/>
  <c r="C28" i="13" s="1"/>
  <c r="B21" i="13"/>
  <c r="B28" i="13" s="1"/>
  <c r="B53" i="13" s="1"/>
  <c r="B62" i="13" s="1"/>
  <c r="B65" i="13" s="1"/>
  <c r="B67" i="13" s="1"/>
  <c r="H10" i="13"/>
  <c r="H13" i="13" s="1"/>
  <c r="F10" i="13"/>
  <c r="F13" i="13" s="1"/>
  <c r="D10" i="13"/>
  <c r="B10" i="13"/>
  <c r="B13" i="13" s="1"/>
  <c r="I9" i="13"/>
  <c r="G9" i="13"/>
  <c r="E9" i="13"/>
  <c r="C9" i="13"/>
  <c r="G59" i="2"/>
  <c r="F59" i="2"/>
  <c r="C59" i="2"/>
  <c r="B59" i="2"/>
  <c r="H42" i="2"/>
  <c r="F42" i="2"/>
  <c r="D42" i="2"/>
  <c r="B42" i="2"/>
  <c r="I41" i="2"/>
  <c r="G41" i="2"/>
  <c r="E41" i="2"/>
  <c r="C41" i="2"/>
  <c r="H40" i="2"/>
  <c r="H44" i="2" s="1"/>
  <c r="H51" i="2" s="1"/>
  <c r="F40" i="2"/>
  <c r="F44" i="2" s="1"/>
  <c r="F51" i="2" s="1"/>
  <c r="D40" i="2"/>
  <c r="D44" i="2" s="1"/>
  <c r="D51" i="2" s="1"/>
  <c r="B40" i="2"/>
  <c r="B44" i="2" s="1"/>
  <c r="B51" i="2" s="1"/>
  <c r="I39" i="2"/>
  <c r="I43" i="2" s="1"/>
  <c r="I50" i="2" s="1"/>
  <c r="G39" i="2"/>
  <c r="G43" i="2" s="1"/>
  <c r="G50" i="2" s="1"/>
  <c r="E39" i="2"/>
  <c r="E43" i="2" s="1"/>
  <c r="E50" i="2" s="1"/>
  <c r="C39" i="2"/>
  <c r="C43" i="2" s="1"/>
  <c r="C50" i="2" s="1"/>
  <c r="I33" i="2"/>
  <c r="H33" i="2"/>
  <c r="G33" i="2"/>
  <c r="F33" i="2"/>
  <c r="E33" i="2"/>
  <c r="D33" i="2"/>
  <c r="C33" i="2"/>
  <c r="B33" i="2"/>
  <c r="I23" i="2"/>
  <c r="H23" i="2"/>
  <c r="G23" i="2"/>
  <c r="F23" i="2"/>
  <c r="E23" i="2"/>
  <c r="D23" i="2"/>
  <c r="C23" i="2"/>
  <c r="B23" i="2"/>
  <c r="I21" i="2"/>
  <c r="I27" i="2" s="1"/>
  <c r="I52" i="2" s="1"/>
  <c r="I61" i="2" s="1"/>
  <c r="I64" i="2" s="1"/>
  <c r="I66" i="2" s="1"/>
  <c r="H21" i="2"/>
  <c r="H28" i="2" s="1"/>
  <c r="H53" i="2" s="1"/>
  <c r="H62" i="2" s="1"/>
  <c r="H65" i="2" s="1"/>
  <c r="H67" i="2" s="1"/>
  <c r="G21" i="2"/>
  <c r="G28" i="2" s="1"/>
  <c r="F21" i="2"/>
  <c r="F28" i="2" s="1"/>
  <c r="E21" i="2"/>
  <c r="E28" i="2" s="1"/>
  <c r="D21" i="2"/>
  <c r="D28" i="2" s="1"/>
  <c r="D53" i="2" s="1"/>
  <c r="D62" i="2" s="1"/>
  <c r="D65" i="2" s="1"/>
  <c r="D67" i="2" s="1"/>
  <c r="C21" i="2"/>
  <c r="C28" i="2" s="1"/>
  <c r="B21" i="2"/>
  <c r="B28" i="2" s="1"/>
  <c r="B53" i="2" s="1"/>
  <c r="B62" i="2" s="1"/>
  <c r="B65" i="2" s="1"/>
  <c r="B67" i="2" s="1"/>
  <c r="H10" i="2"/>
  <c r="H13" i="2" s="1"/>
  <c r="F10" i="2"/>
  <c r="F13" i="2" s="1"/>
  <c r="D10" i="2"/>
  <c r="D13" i="2" s="1"/>
  <c r="B10" i="2"/>
  <c r="B13" i="2" s="1"/>
  <c r="I9" i="2"/>
  <c r="G9" i="2"/>
  <c r="E9" i="2"/>
  <c r="C9" i="2"/>
  <c r="D42" i="12"/>
  <c r="B42" i="12"/>
  <c r="E41" i="12"/>
  <c r="C41" i="12"/>
  <c r="D40" i="12"/>
  <c r="D44" i="12" s="1"/>
  <c r="D51" i="12" s="1"/>
  <c r="B40" i="12"/>
  <c r="B44" i="12" s="1"/>
  <c r="B51" i="12" s="1"/>
  <c r="E39" i="12"/>
  <c r="E43" i="12" s="1"/>
  <c r="E50" i="12" s="1"/>
  <c r="C39" i="12"/>
  <c r="C43" i="12" s="1"/>
  <c r="C50" i="12" s="1"/>
  <c r="E33" i="12"/>
  <c r="D33" i="12"/>
  <c r="C33" i="12"/>
  <c r="B33" i="12"/>
  <c r="E23" i="12"/>
  <c r="D23" i="12"/>
  <c r="C23" i="12"/>
  <c r="B23" i="12"/>
  <c r="E21" i="12"/>
  <c r="E28" i="12" s="1"/>
  <c r="D21" i="12"/>
  <c r="D28" i="12" s="1"/>
  <c r="D53" i="12" s="1"/>
  <c r="D63" i="12" s="1"/>
  <c r="D66" i="12" s="1"/>
  <c r="D68" i="12" s="1"/>
  <c r="C21" i="12"/>
  <c r="C28" i="12" s="1"/>
  <c r="B21" i="12"/>
  <c r="B28" i="12" s="1"/>
  <c r="D13" i="12"/>
  <c r="D10" i="12"/>
  <c r="B10" i="12"/>
  <c r="B13" i="12" s="1"/>
  <c r="E9" i="12"/>
  <c r="C9" i="12"/>
  <c r="D42" i="1"/>
  <c r="B42" i="1"/>
  <c r="E41" i="1"/>
  <c r="C41" i="1"/>
  <c r="D40" i="1"/>
  <c r="D44" i="1" s="1"/>
  <c r="D51" i="1" s="1"/>
  <c r="B40" i="1"/>
  <c r="B44" i="1" s="1"/>
  <c r="B51" i="1" s="1"/>
  <c r="E39" i="1"/>
  <c r="E43" i="1" s="1"/>
  <c r="E50" i="1" s="1"/>
  <c r="C39" i="1"/>
  <c r="C43" i="1" s="1"/>
  <c r="C50" i="1" s="1"/>
  <c r="E33" i="1"/>
  <c r="D33" i="1"/>
  <c r="C33" i="1"/>
  <c r="B33" i="1"/>
  <c r="E23" i="1"/>
  <c r="D23" i="1"/>
  <c r="C23" i="1"/>
  <c r="B23" i="1"/>
  <c r="E21" i="1"/>
  <c r="E28" i="1" s="1"/>
  <c r="D21" i="1"/>
  <c r="D28" i="1" s="1"/>
  <c r="C21" i="1"/>
  <c r="C27" i="1" s="1"/>
  <c r="C52" i="1" s="1"/>
  <c r="C61" i="1" s="1"/>
  <c r="C64" i="1" s="1"/>
  <c r="C66" i="1" s="1"/>
  <c r="B21" i="1"/>
  <c r="B28" i="1" s="1"/>
  <c r="B13" i="1"/>
  <c r="D10" i="1"/>
  <c r="D13" i="1" s="1"/>
  <c r="B10" i="1"/>
  <c r="E9" i="1"/>
  <c r="C9" i="1"/>
  <c r="D53" i="1" l="1"/>
  <c r="D62" i="1" s="1"/>
  <c r="D65" i="1" s="1"/>
  <c r="D67" i="1" s="1"/>
  <c r="D53" i="7"/>
  <c r="D62" i="7" s="1"/>
  <c r="D66" i="7" s="1"/>
  <c r="D68" i="7" s="1"/>
  <c r="B53" i="1"/>
  <c r="B62" i="1" s="1"/>
  <c r="B65" i="1" s="1"/>
  <c r="B67" i="1" s="1"/>
  <c r="B53" i="12"/>
  <c r="B63" i="12" s="1"/>
  <c r="B66" i="12" s="1"/>
  <c r="B68" i="12" s="1"/>
  <c r="F53" i="2"/>
  <c r="F62" i="2" s="1"/>
  <c r="F65" i="2" s="1"/>
  <c r="F67" i="2" s="1"/>
  <c r="C28" i="1"/>
  <c r="G27" i="13"/>
  <c r="G52" i="13" s="1"/>
  <c r="G61" i="13" s="1"/>
  <c r="G64" i="13" s="1"/>
  <c r="G66" i="13" s="1"/>
  <c r="B27" i="1"/>
  <c r="D27" i="12"/>
  <c r="D27" i="2"/>
  <c r="H27" i="2"/>
  <c r="F53" i="13"/>
  <c r="F62" i="13" s="1"/>
  <c r="F65" i="13" s="1"/>
  <c r="F67" i="13" s="1"/>
  <c r="C27" i="13"/>
  <c r="C52" i="13" s="1"/>
  <c r="C61" i="13" s="1"/>
  <c r="C64" i="13" s="1"/>
  <c r="C66" i="13" s="1"/>
  <c r="G28" i="6"/>
  <c r="H53" i="14"/>
  <c r="H63" i="14" s="1"/>
  <c r="H66" i="14" s="1"/>
  <c r="H68" i="14" s="1"/>
  <c r="H28" i="7"/>
  <c r="H53" i="7" s="1"/>
  <c r="H62" i="7" s="1"/>
  <c r="H66" i="7" s="1"/>
  <c r="H68" i="7" s="1"/>
  <c r="H27" i="7"/>
  <c r="C28" i="3"/>
  <c r="C53" i="3" s="1"/>
  <c r="C62" i="3" s="1"/>
  <c r="C65" i="3" s="1"/>
  <c r="C67" i="3" s="1"/>
  <c r="E27" i="12"/>
  <c r="E52" i="12" s="1"/>
  <c r="E62" i="12" s="1"/>
  <c r="E65" i="12" s="1"/>
  <c r="E67" i="12" s="1"/>
  <c r="E27" i="2"/>
  <c r="E52" i="2" s="1"/>
  <c r="E61" i="2" s="1"/>
  <c r="E64" i="2" s="1"/>
  <c r="E66" i="2" s="1"/>
  <c r="I28" i="2"/>
  <c r="I28" i="7"/>
  <c r="I27" i="7"/>
  <c r="I52" i="7" s="1"/>
  <c r="I61" i="7" s="1"/>
  <c r="I65" i="7" s="1"/>
  <c r="I67" i="7" s="1"/>
  <c r="G28" i="3"/>
  <c r="G53" i="3" s="1"/>
  <c r="G62" i="3" s="1"/>
  <c r="G65" i="3" s="1"/>
  <c r="G67" i="3" s="1"/>
  <c r="D27" i="1"/>
  <c r="B27" i="12"/>
  <c r="B27" i="2"/>
  <c r="F27" i="2"/>
  <c r="F28" i="7"/>
  <c r="F53" i="7" s="1"/>
  <c r="F62" i="7" s="1"/>
  <c r="F66" i="7" s="1"/>
  <c r="F68" i="7" s="1"/>
  <c r="F27" i="7"/>
  <c r="E27" i="1"/>
  <c r="E52" i="1" s="1"/>
  <c r="E61" i="1" s="1"/>
  <c r="E64" i="1" s="1"/>
  <c r="E66" i="1" s="1"/>
  <c r="C27" i="12"/>
  <c r="C52" i="12" s="1"/>
  <c r="C62" i="12" s="1"/>
  <c r="C65" i="12" s="1"/>
  <c r="C67" i="12" s="1"/>
  <c r="C27" i="2"/>
  <c r="C52" i="2" s="1"/>
  <c r="C61" i="2" s="1"/>
  <c r="C64" i="2" s="1"/>
  <c r="C66" i="2" s="1"/>
  <c r="G27" i="2"/>
  <c r="G52" i="2" s="1"/>
  <c r="G61" i="2" s="1"/>
  <c r="G64" i="2" s="1"/>
  <c r="G66" i="2" s="1"/>
  <c r="H53" i="6"/>
  <c r="H62" i="6" s="1"/>
  <c r="H65" i="6" s="1"/>
  <c r="H67" i="6" s="1"/>
  <c r="B27" i="13"/>
  <c r="F27" i="13"/>
  <c r="B27" i="6"/>
  <c r="F27" i="6"/>
  <c r="B27" i="14"/>
  <c r="F27" i="14"/>
  <c r="B27" i="7"/>
  <c r="B28" i="3"/>
  <c r="F28" i="3"/>
  <c r="D27" i="13"/>
  <c r="H27" i="13"/>
  <c r="D27" i="6"/>
  <c r="H27" i="6"/>
  <c r="D27" i="14"/>
  <c r="H27" i="14"/>
  <c r="D27" i="7"/>
  <c r="D28" i="3"/>
  <c r="H28" i="3"/>
  <c r="E27" i="13"/>
  <c r="E52" i="13" s="1"/>
  <c r="E61" i="13" s="1"/>
  <c r="E64" i="13" s="1"/>
  <c r="E66" i="13" s="1"/>
  <c r="I27" i="13"/>
  <c r="I52" i="13" s="1"/>
  <c r="I61" i="13" s="1"/>
  <c r="I64" i="13" s="1"/>
  <c r="I66" i="13" s="1"/>
  <c r="E27" i="6"/>
  <c r="E52" i="6" s="1"/>
  <c r="E61" i="6" s="1"/>
  <c r="E64" i="6" s="1"/>
  <c r="E66" i="6" s="1"/>
  <c r="I27" i="6"/>
  <c r="I52" i="6" s="1"/>
  <c r="I61" i="6" s="1"/>
  <c r="I64" i="6" s="1"/>
  <c r="I66" i="6" s="1"/>
  <c r="E27" i="14"/>
  <c r="E52" i="14" s="1"/>
  <c r="E62" i="14" s="1"/>
  <c r="E65" i="14" s="1"/>
  <c r="E67" i="14" s="1"/>
  <c r="I27" i="14"/>
  <c r="I52" i="14" s="1"/>
  <c r="I62" i="14" s="1"/>
  <c r="I65" i="14" s="1"/>
  <c r="I67" i="14" s="1"/>
  <c r="E27" i="7"/>
  <c r="E52" i="7" s="1"/>
  <c r="E61" i="7" s="1"/>
  <c r="E65" i="7" s="1"/>
  <c r="E67" i="7" s="1"/>
  <c r="E28" i="3"/>
  <c r="E53" i="3" s="1"/>
  <c r="E62" i="3" s="1"/>
  <c r="E65" i="3" s="1"/>
  <c r="E67" i="3" s="1"/>
  <c r="I28" i="3"/>
  <c r="I53" i="3" s="1"/>
  <c r="I62" i="3" s="1"/>
  <c r="I65" i="3" s="1"/>
  <c r="I67" i="3" s="1"/>
</calcChain>
</file>

<file path=xl/sharedStrings.xml><?xml version="1.0" encoding="utf-8"?>
<sst xmlns="http://schemas.openxmlformats.org/spreadsheetml/2006/main" count="1567" uniqueCount="224">
  <si>
    <t>Item</t>
  </si>
  <si>
    <t>System configuration</t>
  </si>
  <si>
    <t>Carrier frequency (GHz)</t>
  </si>
  <si>
    <t>BS antenna heights (m)</t>
  </si>
  <si>
    <t>UT antenna heights (m)</t>
  </si>
  <si>
    <t>Transmission bit rate for control channel (bit/s)</t>
  </si>
  <si>
    <t>Transmission bit rate for data channel (bit/s)</t>
  </si>
  <si>
    <t>Target packet error rate for the required SNR in item (19a) for control channel</t>
  </si>
  <si>
    <t>Target packet error rate for the required SNR in item (19b) for data channel</t>
  </si>
  <si>
    <t>Feeder loss (dB)</t>
  </si>
  <si>
    <t>Transmitter</t>
  </si>
  <si>
    <t>(2) Maximal transmit power per antenna (dBm)</t>
  </si>
  <si>
    <t>(4) Transmitter antenna gain (dBi)</t>
  </si>
  <si>
    <t>(5) Transmitter array gain (depends on transmitter array configurations and technologies such as adaptive beam forming, CDD (cyclic delay diversity), etc.) (dB)</t>
  </si>
  <si>
    <t>(6) Control channel power boosting gain (dB)</t>
  </si>
  <si>
    <t>(7) Data channel power loss due to pilot/control boosting (dB)</t>
  </si>
  <si>
    <t>(8) Cable, connector, combiner, body losses, etc. (enumerate sources) (dB) (feeder loss must be included for and only for downlink)</t>
  </si>
  <si>
    <t>(9a) Control channel EIRP = (3) + (4) + (5) + (6) – (8) dBm</t>
  </si>
  <si>
    <t>(9b) Data channel EIRP = (3) + (4) + (5) – (7) – (8)  dBm</t>
  </si>
  <si>
    <t>Receiver</t>
  </si>
  <si>
    <t>(11) Receiver antenna gain (dBi)</t>
  </si>
  <si>
    <t>(12) Cable, connector, combiner, body losses, etc. (enumerate sources) (dB) (feeder loss must be included for and only for uplink)</t>
  </si>
  <si>
    <t>(13) Receiver noise figure (dB)</t>
  </si>
  <si>
    <t>(14) Thermal noise density (dBm/Hz)</t>
  </si>
  <si>
    <t>(15a) Receiver interference density for control channel (dBm/Hz) (See 3GPP note at bottom of the table (i) )</t>
  </si>
  <si>
    <t xml:space="preserve">(15b) Receiver interference density for data channel (dBm/Hz) </t>
  </si>
  <si>
    <t>(17a) Occupied channel bandwidth for control channel (for meeting the requirements of the traffic type) (Hz)</t>
  </si>
  <si>
    <t>(17b) Occupied channel bandwidth for data channel (for meeting the requirements of the traffic type) (Hz)</t>
  </si>
  <si>
    <t>(18a) Effective noise power for control channel = (16a) + 10 log((17a)) dBm</t>
  </si>
  <si>
    <t>(18b) Effective noise power for data channel = (16b) + 10 log((17b)) dBm</t>
  </si>
  <si>
    <t xml:space="preserve">(19a) Required SNR for the control channel (dB) </t>
  </si>
  <si>
    <t xml:space="preserve">(19b) Required SNR for the data channel (dB) </t>
  </si>
  <si>
    <t>(20) Receiver implementation margin (dB)</t>
  </si>
  <si>
    <t>(21a) H-ARQ gain for control channel (dB)</t>
  </si>
  <si>
    <t>(21b) H-ARQ gain for data channel (dB)</t>
  </si>
  <si>
    <t>Calculation of available pathloss</t>
  </si>
  <si>
    <t>(24) Lognormal shadow fading std deviation (dB)</t>
  </si>
  <si>
    <t>(25a) Shadow fading margin for control channel (function of the cell area reliability and (24)) (dB)</t>
  </si>
  <si>
    <t xml:space="preserve">(25b) Shadow fading margin for data channel (function of the cell area reliability and (24)) (dB) </t>
  </si>
  <si>
    <t>(26) BS selection/macro-diversity gain (dB)</t>
  </si>
  <si>
    <t>(27) Penetration margin (dB)</t>
  </si>
  <si>
    <t>(28) Other gains (dB) (if any please specify)</t>
  </si>
  <si>
    <t>Range/coverage efficiency calculation</t>
  </si>
  <si>
    <t>(30a) Maximum range for control channel (based on (29a) and according to the system configuration section of the link budget) (m)</t>
  </si>
  <si>
    <t>(30b) Maximum range for data channel (based on (29b) and according to the system configuration section of the link budget) (m)</t>
  </si>
  <si>
    <t>(16a) Total noise plus interference density for control channel        = 10 log (10^(((13) + (14))/10) + 10^((15a)/10))  dBm/Hz  (See 3GPP note at bottom of the table (i) )</t>
  </si>
  <si>
    <t>(16b) Total noise plus interference density for data channel        = 10 log (10^(((13) + (14))/10) + 10^((15b)/10))  dBm/Hz  (See 3GPP note at bottom of the table (i) )</t>
  </si>
  <si>
    <t>(22a) Receiver sensitivity for control channel         = (18a) + (19a) + (20) – (21a)  dBm</t>
  </si>
  <si>
    <t>(22b) Receiver sensitivity for data channel          = (18b) + (19b) + (20) – (21b)  dBm</t>
  </si>
  <si>
    <t>(29b) Available path loss for data channel           = (23b) – (25b) + (26) – (27) + (28) – (12)   dB</t>
  </si>
  <si>
    <t>DL</t>
    <phoneticPr fontId="1" type="noConversion"/>
  </si>
  <si>
    <t>NR PDSCH (NLOS)</t>
    <phoneticPr fontId="1" type="noConversion"/>
  </si>
  <si>
    <t>UL</t>
    <phoneticPr fontId="1" type="noConversion"/>
  </si>
  <si>
    <t>NR PUSCH (NLOS)</t>
    <phoneticPr fontId="1" type="noConversion"/>
  </si>
  <si>
    <t>(29a) Available path loss for control channel          = (23a) – (25a) + (26) – (27) + (28) – (12)   dB</t>
    <phoneticPr fontId="1" type="noConversion"/>
  </si>
  <si>
    <t>NR PDSCH (NLOS O-to-I)</t>
    <phoneticPr fontId="1" type="noConversion"/>
  </si>
  <si>
    <t>NR PDCCH (NLOS O-to-I)</t>
    <phoneticPr fontId="1" type="noConversion"/>
  </si>
  <si>
    <t>NR PDCCH (NLOS)</t>
    <phoneticPr fontId="1" type="noConversion"/>
  </si>
  <si>
    <t>NR PUSCH (NLOS)</t>
    <phoneticPr fontId="1" type="noConversion"/>
  </si>
  <si>
    <t>NR PUCCH (NLOS)</t>
    <phoneticPr fontId="1" type="noConversion"/>
  </si>
  <si>
    <t>NR PUSCH (NLOS O-to-I)</t>
    <phoneticPr fontId="1" type="noConversion"/>
  </si>
  <si>
    <t>NR PUCCH (NLOS O-to-I)</t>
    <phoneticPr fontId="1" type="noConversion"/>
  </si>
  <si>
    <t>NR PDCCH (NLOS O-to-I)</t>
    <phoneticPr fontId="1" type="noConversion"/>
  </si>
  <si>
    <t>NR PDCCH (NLOS)</t>
    <phoneticPr fontId="1" type="noConversion"/>
  </si>
  <si>
    <t>NR PDSCH (NLOS)</t>
    <phoneticPr fontId="1" type="noConversion"/>
  </si>
  <si>
    <t>NR PUCCH (NLOS)</t>
    <phoneticPr fontId="1" type="noConversion"/>
  </si>
  <si>
    <t>NR PUSCH (NLOS O-to-I)</t>
    <phoneticPr fontId="1" type="noConversion"/>
  </si>
  <si>
    <t>NR PUCCH (NLOS O-to-I)</t>
    <phoneticPr fontId="1" type="noConversion"/>
  </si>
  <si>
    <t>-</t>
    <phoneticPr fontId="1" type="noConversion"/>
  </si>
  <si>
    <r>
      <t>Transmission bandwidth configuration N</t>
    </r>
    <r>
      <rPr>
        <b/>
        <vertAlign val="subscript"/>
        <sz val="10"/>
        <color theme="1"/>
        <rFont val="Arial"/>
        <family val="2"/>
      </rPr>
      <t>RB</t>
    </r>
    <r>
      <rPr>
        <b/>
        <sz val="10"/>
        <color theme="1"/>
        <rFont val="Arial"/>
        <family val="2"/>
      </rPr>
      <t xml:space="preserve"> in NR</t>
    </r>
  </si>
  <si>
    <t>FR1</t>
    <phoneticPr fontId="7" type="noConversion"/>
  </si>
  <si>
    <t>SCS (kHz)</t>
  </si>
  <si>
    <t>5MHz</t>
  </si>
  <si>
    <t>10MHz</t>
  </si>
  <si>
    <t>15MHz</t>
  </si>
  <si>
    <t>20 MHz</t>
  </si>
  <si>
    <t>25 MHz</t>
  </si>
  <si>
    <t>30 MHz</t>
  </si>
  <si>
    <t>40 MHz</t>
  </si>
  <si>
    <t>50MHz</t>
  </si>
  <si>
    <t>60 MHz</t>
  </si>
  <si>
    <t>80 MHz</t>
  </si>
  <si>
    <t>90 MHz</t>
  </si>
  <si>
    <t>100 MHz</t>
  </si>
  <si>
    <t>MHz</t>
  </si>
  <si>
    <r>
      <t>N</t>
    </r>
    <r>
      <rPr>
        <b/>
        <vertAlign val="subscript"/>
        <sz val="9"/>
        <color theme="1"/>
        <rFont val="Arial"/>
        <family val="2"/>
      </rPr>
      <t>RB</t>
    </r>
  </si>
  <si>
    <t>N/A</t>
  </si>
  <si>
    <t>N.A</t>
  </si>
  <si>
    <t>FR2</t>
    <phoneticPr fontId="7" type="noConversion"/>
  </si>
  <si>
    <t>SCS [kHz]</t>
  </si>
  <si>
    <t>50 MHz</t>
  </si>
  <si>
    <t>100 MHz</t>
  </si>
  <si>
    <t>200 MHz</t>
  </si>
  <si>
    <t>400 MHz</t>
  </si>
  <si>
    <t>(10) Number of receive antennas (The number shall be within the indicated range in § 8.4 of Report ITU-R M.2412-0)</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</si>
  <si>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</si>
  <si>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</si>
  <si>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UE speed (km/h)</t>
    <phoneticPr fontId="1" type="noConversion"/>
  </si>
  <si>
    <t>(11bis) Receiver array gain (depends on transmitter array configurations and technologies such as adaptive beam forming, etc.) (dB)</t>
    <phoneticPr fontId="1" type="noConversion"/>
  </si>
  <si>
    <t>Break point</t>
    <phoneticPr fontId="1" type="noConversion"/>
  </si>
  <si>
    <t>NR PDSCH (NLOS)</t>
    <phoneticPr fontId="1" type="noConversion"/>
  </si>
  <si>
    <t>NR PDCCH (NLOS)</t>
    <phoneticPr fontId="1" type="noConversion"/>
  </si>
  <si>
    <t>NR PUSCH (NLOS)</t>
    <phoneticPr fontId="1" type="noConversion"/>
  </si>
  <si>
    <t>NR PUCCH (NLOS)</t>
    <phoneticPr fontId="1" type="noConversion"/>
  </si>
  <si>
    <t>(11bis) Receiver array gain (depends on transmitter array configurations and technologies such as adaptive beam forming, etc.) (dB)</t>
    <phoneticPr fontId="1" type="noConversion"/>
  </si>
  <si>
    <t>-</t>
  </si>
  <si>
    <t>-</t>
    <phoneticPr fontId="1" type="noConversion"/>
  </si>
  <si>
    <t>-</t>
    <phoneticPr fontId="1" type="noConversion"/>
  </si>
  <si>
    <t>-</t>
    <phoneticPr fontId="1" type="noConversion"/>
  </si>
  <si>
    <r>
      <t>Cell area reliability</t>
    </r>
    <r>
      <rPr>
        <vertAlign val="superscript"/>
        <sz val="10"/>
        <color theme="1"/>
        <rFont val="Times New Roman"/>
        <family val="1"/>
      </rPr>
      <t>(1)</t>
    </r>
    <r>
      <rPr>
        <sz val="11"/>
        <color theme="1"/>
        <rFont val="Times New Roman"/>
        <family val="1"/>
      </rPr>
      <t xml:space="preserve"> for control channel  (%) (Please specify how it is calculated.) (See 3GPP note at bottom of the table (i) )</t>
    </r>
  </si>
  <si>
    <r>
      <t>Cell area reliability</t>
    </r>
    <r>
      <rPr>
        <vertAlign val="superscript"/>
        <sz val="10"/>
        <color theme="1"/>
        <rFont val="Times New Roman"/>
        <family val="1"/>
      </rPr>
      <t>(1)</t>
    </r>
    <r>
      <rPr>
        <sz val="11"/>
        <color theme="1"/>
        <rFont val="Times New Roman"/>
        <family val="1"/>
      </rPr>
      <t xml:space="preserve"> for data channel (%) (Please specify how it is calculated.) (See 3GPP note at bottom of the table (i) )</t>
    </r>
  </si>
  <si>
    <r>
      <t>Spectral efficiency</t>
    </r>
    <r>
      <rPr>
        <vertAlign val="superscript"/>
        <sz val="10"/>
        <color theme="1"/>
        <rFont val="Times New Roman"/>
        <family val="1"/>
      </rPr>
      <t>(2)</t>
    </r>
    <r>
      <rPr>
        <sz val="11"/>
        <color theme="1"/>
        <rFont val="Times New Roman"/>
        <family val="1"/>
      </rPr>
      <t xml:space="preserve"> (bit/s/Hz)</t>
    </r>
  </si>
  <si>
    <r>
      <t>Pathloss model</t>
    </r>
    <r>
      <rPr>
        <vertAlign val="superscript"/>
        <sz val="10"/>
        <color theme="1"/>
        <rFont val="Times New Roman"/>
        <family val="1"/>
      </rPr>
      <t>(3)</t>
    </r>
    <r>
      <rPr>
        <sz val="11"/>
        <color theme="1"/>
        <rFont val="Times New Roman"/>
        <family val="1"/>
      </rPr>
      <t xml:space="preserve"> (select from LoS or NLoS)</t>
    </r>
  </si>
  <si>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</si>
  <si>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</si>
  <si>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</si>
  <si>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</si>
  <si>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(23a) Hardware link budget for control channel          = (9a) + (11) + (11bis) − (22a)   dB</t>
  </si>
  <si>
    <t>(23b) Hardware link budget for data channel           = (9b) + (11) + (11bis) − (22b)  dB</t>
  </si>
  <si>
    <r>
      <t>Penetration Loss std deviation (dB)</t>
    </r>
    <r>
      <rPr>
        <vertAlign val="superscript"/>
        <sz val="11"/>
        <color theme="1"/>
        <rFont val="Times New Roman"/>
        <family val="1"/>
      </rPr>
      <t>(ii)</t>
    </r>
  </si>
  <si>
    <r>
      <t>(31a) Coverage Area for control channel = (π (30a)</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</si>
  <si>
    <r>
      <t>(31b) Coverage Area for data channel = (π (30b)</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</si>
  <si>
    <t>(22b) Receiver sensitivity for data channel          = (18b) + (19b) + (20) – (21b)  dBm</t>
    <phoneticPr fontId="1" type="noConversion"/>
  </si>
  <si>
    <t>(23a) Hardware link budget for control channel          = (9a) + (11) + (11bis) − (22a)   dB</t>
    <phoneticPr fontId="1" type="noConversion"/>
  </si>
  <si>
    <t>(23b) Hardware link budget for data channel           = (9b) + (11) + (11bis) − (22b)  dB</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</si>
  <si>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</si>
  <si>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</si>
  <si>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</si>
  <si>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</si>
  <si>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(23a) Hardware link budget for control channel          = (9a) + (11) + (11bis)  − (22a)   dB</t>
  </si>
  <si>
    <t>(30a) Maximum range for control channel (based on (29a) and according to the system configuration section of the link budget) (m)</t>
    <phoneticPr fontId="1" type="noConversion"/>
  </si>
  <si>
    <t>(30b) Maximum range for data channel (based on (29b) and according to the system configuration section of the link budget) (m)</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</si>
  <si>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</si>
  <si>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</si>
  <si>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</si>
  <si>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</si>
  <si>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DL</t>
  </si>
  <si>
    <t>UL</t>
  </si>
  <si>
    <t>NLOS</t>
    <phoneticPr fontId="1" type="noConversion"/>
  </si>
  <si>
    <t>(1bis) Number of transmit antenna ports</t>
    <phoneticPr fontId="1" type="noConversion"/>
  </si>
  <si>
    <t>NPDSCH (NLOS)</t>
    <phoneticPr fontId="1" type="noConversion"/>
  </si>
  <si>
    <t>NPDCCH (NLOS)</t>
    <phoneticPr fontId="1" type="noConversion"/>
  </si>
  <si>
    <t>NPDSCH (NLOS O-to-I)</t>
    <phoneticPr fontId="1" type="noConversion"/>
  </si>
  <si>
    <t>NPDCCH (NLOS O-to-I)</t>
    <phoneticPr fontId="1" type="noConversion"/>
  </si>
  <si>
    <t>NPUSCH (NLOS)</t>
    <phoneticPr fontId="1" type="noConversion"/>
  </si>
  <si>
    <t>NPUSCH Format 2  (NLOS)</t>
    <phoneticPr fontId="1" type="noConversion"/>
  </si>
  <si>
    <t>NPUSCH (NLOS O-to-I)</t>
    <phoneticPr fontId="1" type="noConversion"/>
  </si>
  <si>
    <t>NPUSCH Format 2 (NLOS O-to-I)</t>
    <phoneticPr fontId="1" type="noConversion"/>
  </si>
  <si>
    <t>-</t>
    <phoneticPr fontId="1" type="noConversion"/>
  </si>
  <si>
    <t>LOS</t>
    <phoneticPr fontId="1" type="noConversion"/>
  </si>
  <si>
    <t>NLOS</t>
    <phoneticPr fontId="1" type="noConversion"/>
  </si>
  <si>
    <t>NLOS O-to-I</t>
    <phoneticPr fontId="1" type="noConversion"/>
  </si>
  <si>
    <t>LOS</t>
    <phoneticPr fontId="1" type="noConversion"/>
  </si>
  <si>
    <t>UE speed (km/h)</t>
    <phoneticPr fontId="1" type="noConversion"/>
  </si>
  <si>
    <t>(1) Number of transmit antennas. (The number shall be within the indicated range in  § 8.4 of Report ITU-R M.2412-0)</t>
    <phoneticPr fontId="1" type="noConversion"/>
  </si>
  <si>
    <t>(1bis) Number of transmit antenna ports</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</si>
  <si>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</si>
  <si>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</si>
  <si>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(10bis) Number of receive antenna ports</t>
    <phoneticPr fontId="1" type="noConversion"/>
  </si>
  <si>
    <t>(11bis) Receiver array gain (depends on transmitter array configurations and technologies such as adaptive beam forming, etc.) (dB)</t>
    <phoneticPr fontId="1" type="noConversion"/>
  </si>
  <si>
    <t>-</t>
    <phoneticPr fontId="1" type="noConversion"/>
  </si>
  <si>
    <t>-</t>
    <phoneticPr fontId="1" type="noConversion"/>
  </si>
  <si>
    <t>NLOS</t>
    <phoneticPr fontId="1" type="noConversion"/>
  </si>
  <si>
    <t>NLOS O-to-I</t>
    <phoneticPr fontId="1" type="noConversion"/>
  </si>
  <si>
    <t>DL</t>
    <phoneticPr fontId="1" type="noConversion"/>
  </si>
  <si>
    <t>UL</t>
    <phoneticPr fontId="1" type="noConversion"/>
  </si>
  <si>
    <t>NR PUCCH (NLOS)</t>
    <phoneticPr fontId="1" type="noConversion"/>
  </si>
  <si>
    <t>NR PUSCH (NLOS O-to-I)</t>
    <phoneticPr fontId="1" type="noConversion"/>
  </si>
  <si>
    <t>NR PUCCH (NLOS O-to-I)</t>
    <phoneticPr fontId="1" type="noConversion"/>
  </si>
  <si>
    <t>-</t>
    <phoneticPr fontId="1" type="noConversion"/>
  </si>
  <si>
    <t>NLOS</t>
    <phoneticPr fontId="1" type="noConversion"/>
  </si>
  <si>
    <t>NLOS O-to-I</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</si>
  <si>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</si>
  <si>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</si>
  <si>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</si>
  <si>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</si>
  <si>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(11bis) Receiver array gain (depends on transmitter array configurations and technologies such as adaptive beam forming, etc.) (dB)</t>
    <phoneticPr fontId="1" type="noConversion"/>
  </si>
  <si>
    <t>(22b) Receiver sensitivity for data channel          = (18b) + (19b) + (20) – (21b)  dBm</t>
    <phoneticPr fontId="1" type="noConversion"/>
  </si>
  <si>
    <t>(23a) Hardware link budget for control channel          = (9a) + (11) + (11bis) − (22a)   dB</t>
    <phoneticPr fontId="1" type="noConversion"/>
  </si>
  <si>
    <t>(23b) Hardware link budget for data channel           = (9b) + (11) + (11bis) − (22b)  dB</t>
    <phoneticPr fontId="1" type="noConversion"/>
  </si>
  <si>
    <t>(29a) Available path loss for control channel          = (23a) – (25a) + (26) – (27) + (28) – (12)   dB</t>
    <phoneticPr fontId="1" type="noConversion"/>
  </si>
  <si>
    <t>DL</t>
    <phoneticPr fontId="1" type="noConversion"/>
  </si>
  <si>
    <t>UL</t>
    <phoneticPr fontId="1" type="noConversion"/>
  </si>
  <si>
    <t>NR PDSCH (NLOS)</t>
    <phoneticPr fontId="1" type="noConversion"/>
  </si>
  <si>
    <t>NR PDCCH (NLOS)</t>
    <phoneticPr fontId="1" type="noConversion"/>
  </si>
  <si>
    <t>NR PDSCH (NLOS O-to-I)</t>
    <phoneticPr fontId="1" type="noConversion"/>
  </si>
  <si>
    <t xml:space="preserve">NR PDCCH (NLOS O-to-I) </t>
    <phoneticPr fontId="1" type="noConversion"/>
  </si>
  <si>
    <t>NR PUSCH (NLOS)</t>
    <phoneticPr fontId="1" type="noConversion"/>
  </si>
  <si>
    <t>NR PUCCH (NLOS)</t>
    <phoneticPr fontId="1" type="noConversion"/>
  </si>
  <si>
    <t>NR PUSCH (NLOS O-to-I)</t>
    <phoneticPr fontId="1" type="noConversion"/>
  </si>
  <si>
    <t>NR PUCCH (NLOS O-to-I)</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</si>
  <si>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</si>
  <si>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</si>
  <si>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</si>
  <si>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</si>
  <si>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(11bis) Receiver array gain (depends on transmitter array configurations and technologies such as adaptive beam forming, etc.) (dB)</t>
    <phoneticPr fontId="1" type="noConversion"/>
  </si>
  <si>
    <t>(29a) Available path loss for control channel          = (23a) – (25a) + (26) – (27) + (28) – (12)   dB</t>
    <phoneticPr fontId="1" type="noConversion"/>
  </si>
  <si>
    <t>(30a) Maximum range for control channel (based on (29a) and according to the system configuration section of the link budget) (m)</t>
    <phoneticPr fontId="1" type="noConversion"/>
  </si>
  <si>
    <t>(30b) Maximum range for data channel (based on (29b) and according to the system configuration section of the link budget) (m)</t>
    <phoneticPr fontId="1" type="noConversion"/>
  </si>
  <si>
    <t>(1bis) Number of transmit antenna ports</t>
    <phoneticPr fontId="1" type="noConversion"/>
  </si>
  <si>
    <t xml:space="preserve">NR PDCCH (NLOS) </t>
    <phoneticPr fontId="1" type="noConversion"/>
  </si>
  <si>
    <t>(10bis) Number of receive antenna ports</t>
    <phoneticPr fontId="1" type="noConversion"/>
  </si>
  <si>
    <t>(10bis) Number of receive ports</t>
    <phoneticPr fontId="1" type="noConversion"/>
  </si>
  <si>
    <t>(1bis) Number of transmit antennas</t>
    <phoneticPr fontId="1" type="noConversion"/>
  </si>
  <si>
    <t>(10bis) Number of receive antennas</t>
    <phoneticPr fontId="1" type="noConversion"/>
  </si>
  <si>
    <t>(10bis) Number of receive antenna ports</t>
    <phoneticPr fontId="1" type="noConversion"/>
  </si>
  <si>
    <t>(1bis) Number of transmit antenna ports</t>
    <phoneticPr fontId="1" type="noConversion"/>
  </si>
  <si>
    <t>(10bis) Number of receive antenna ports</t>
    <phoneticPr fontId="1" type="noConversion"/>
  </si>
  <si>
    <t>-</t>
    <phoneticPr fontId="1" type="noConversion"/>
  </si>
  <si>
    <t>-</t>
    <phoneticPr fontId="1" type="noConversion"/>
  </si>
  <si>
    <t>-</t>
    <phoneticPr fontId="1" type="noConversion"/>
  </si>
  <si>
    <t>s</t>
    <phoneticPr fontId="1" type="noConversion"/>
  </si>
  <si>
    <t>DL</t>
    <phoneticPr fontId="1" type="noConversion"/>
  </si>
  <si>
    <t>UL</t>
    <phoneticPr fontId="1" type="noConversion"/>
  </si>
  <si>
    <t>s</t>
    <phoneticPr fontId="1" type="noConversion"/>
  </si>
  <si>
    <t>(1bis) Number of transmit antenna ports</t>
    <phoneticPr fontId="1" type="noConversion"/>
  </si>
  <si>
    <t>(5) Transmitter array gain (depends on transmitter array configurations and technologies such as adaptive beam forming, CDD (cyclic delay diversity), etc.) (dB)</t>
    <phoneticPr fontId="1" type="noConversion"/>
  </si>
  <si>
    <t>(10bis) Number of  receive antenna ports</t>
    <phoneticPr fontId="1" type="noConversion"/>
  </si>
  <si>
    <t>(15a) Receiver interference density for control channel (dBm/Hz) (See 3GPP note at bottom of the table (i) )</t>
    <phoneticPr fontId="1" type="noConversion"/>
  </si>
  <si>
    <t>(30a) Maximum range for control channel (based on (29a) and according to the system configuration section of the link budget) (m)</t>
    <phoneticPr fontId="1" type="noConversion"/>
  </si>
  <si>
    <r>
      <t>(31a) Coverage Area for control channel = (π (30a)</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phoneticPr fontId="1" type="noConversion"/>
  </si>
  <si>
    <t>c</t>
    <phoneticPr fontId="1" type="noConversion"/>
  </si>
  <si>
    <t>General notes:
1. Item "(1bis) Number of transmit antenna ports" is added, which indicates the number of transmit antenna ports for the transmission link. One transmit antenna port may map to 1 or multiple transmit antenna elements. Beamforming is assumed for the transmit antenna element(s) that generate one transmit antenna port, which results in transmitter array gain. 
2. Item "(5) Transmitter array gain" is calculated as 10*log10( (1)/(1bis) )
3. Item "(10bis) Number of  receive antenna ports" is added, which indicates the number of receive antenna ports for the transmission link. One receive antenna port may map to 1 or multiple transmit antenna elements. Beamforming is assumed for the receive antenna element(s) that generate one receive antenna port, which results in receive array gain. 
4. Item "(11bis) Receiver array gain" is added. It is calculated as 10*log10( (10)/(10bis) )
5. For Dense Urban - eMBB test environment, the penentration margin is calculated based on the assumption of 80% low loss and 20% high loss.
6. For Rural - eMBB and Urban Macro - URLLC test environment,penentration margin is calculated based on the assumption of 100% low loss.
7. For Urban Macro - mMTC test environment, the penentration margin is calculated based on the assumption of 100% high loss, which is motivated by the coverage demand for mMTC scenarios.
8. For Urban Macro - mMTC test environment, item "(15a/b) Receiver interference density" is assumed to be -177dB due to the assumption of low cell load when the large coverage area of  mMTC is considered.
9. If item "(30a/b) Maximum range" exceeds the maximum supportable range of the channel model defined in Report ITU-R M.2412, the item "(30a/b) Maximum range" will be given by the  maximum supportable range of the related  channel model. As a consequence, item "(31a/b) Coverage Area" will be calculated by the maximum supportable range.
10. For LTE PDCCH, the broad beam is assumed to be applied to the horizontal array, which results in approximately 1.25dB loss compared to horizontal beamforming.
11. In applying the link budget template, it was noted that the template calculates valuations for the control channel and the data channel separately.  In particular, it was necessary to provide separate values for the data channel and the control channel in the following entries: cell area reliability, items 15, 16, 17, 18 and 25 for the reason that the control channel link budget is based on a set of different parameters from those for the data channel, e.g. the bandwidth, cell area reliability, receiver interference density, shadow fading margin, etc.  Therefore we have provided an “a) (control channel)” and “b) (data channel)” set of answers for these values even though the ITU-R template did not specifically request separate values for these items.</t>
    <phoneticPr fontId="1" type="noConversion"/>
  </si>
  <si>
    <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</si>
</sst>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00000000_ "/>
    <numFmt numFmtId="165" formatCode="0.00_ "/>
    <numFmt numFmtId="166" formatCode="0.000_ "/>
    <numFmt numFmtId="167" formatCode="0.0"/>
    <numFmt numFmtId="168" formatCode="0.00_);[Red]\(0.00\)"/>
  </numFmts>
  <fonts count="23">
    <font>
      <sz val="12"/>
      <name val="宋体"/>
      <charset val="134"/>
    </font>
    <font>
      <sz val="9"/>
      <name val="宋体"/>
      <family val="3"/>
      <charset val="134"/>
    </font>
    <font>
      <sz val="11"/>
      <name val="Times New Roman"/>
      <family val="1"/>
    </font>
    <font>
      <sz val="12"/>
      <name val="宋体"/>
      <family val="3"/>
      <charset val="134"/>
    </font>
    <font>
      <b/>
      <sz val="10"/>
      <color theme="1"/>
      <name val="Arial"/>
      <family val="2"/>
    </font>
    <font>
      <b/>
      <vertAlign val="subscript"/>
      <sz val="10"/>
      <color theme="1"/>
      <name val="Arial"/>
      <family val="2"/>
    </font>
    <font>
      <sz val="11"/>
      <color theme="1"/>
      <name val="Arial"/>
      <family val="2"/>
    </font>
    <font>
      <sz val="9"/>
      <name val="Calibri"/>
      <family val="3"/>
      <charset val="134"/>
      <scheme val="minor"/>
    </font>
    <font>
      <b/>
      <sz val="9"/>
      <color theme="1"/>
      <name val="Arial"/>
      <family val="2"/>
    </font>
    <font>
      <b/>
      <sz val="8"/>
      <color theme="1"/>
      <name val="Arial"/>
      <family val="2"/>
    </font>
    <font>
      <b/>
      <vertAlign val="subscript"/>
      <sz val="9"/>
      <color theme="1"/>
      <name val="Arial"/>
      <family val="2"/>
    </font>
    <font>
      <sz val="9"/>
      <color theme="1"/>
      <name val="Arial"/>
      <family val="2"/>
    </font>
    <font>
      <b/>
      <sz val="11"/>
      <color theme="1"/>
      <name val="Times New Roman"/>
      <family val="1"/>
    </font>
    <font>
      <sz val="11"/>
      <color theme="1"/>
      <name val="Times New Roman"/>
      <family val="1"/>
    </font>
    <font>
      <vertAlign val="superscript"/>
      <sz val="10"/>
      <color theme="1"/>
      <name val="Times New Roman"/>
      <family val="1"/>
    </font>
    <font>
      <vertAlign val="superscript"/>
      <sz val="11"/>
      <color theme="1"/>
      <name val="Times New Roman"/>
      <family val="1"/>
    </font>
    <font>
      <sz val="12"/>
      <color theme="1"/>
      <name val="宋体"/>
      <family val="3"/>
      <charset val="134"/>
    </font>
    <font>
      <sz val="11"/>
      <color rgb="FF3F3F76"/>
      <name val="Calibri"/>
      <family val="2"/>
      <charset val="134"/>
      <scheme val="minor"/>
    </font>
    <font>
      <b/>
      <sz val="11"/>
      <name val="Times New Roman"/>
      <family val="1"/>
    </font>
    <font>
      <sz val="12"/>
      <name val="Times New Roman"/>
      <family val="1"/>
    </font>
    <font>
      <sz val="12"/>
      <color rgb="FFFF0000"/>
      <name val="宋体"/>
      <family val="3"/>
      <charset val="134"/>
    </font>
    <font>
      <sz val="11"/>
      <name val="Arial"/>
      <family val="2"/>
    </font>
    <font>
      <sz val="10"/>
      <name val="Arial"/>
      <family val="2"/>
    </font>
  </fonts>
  <fills count="10">
    <fill>
      <patternFill patternType="none"/>
    </fill>
    <fill>
      <patternFill patternType="gray125"/>
    </fill>
    <fill>
      <patternFill patternType="solid">
        <fgColor rgb="FFE6E6E6"/>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D9D9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C99"/>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7F7F7F"/>
      </left>
      <right style="thin">
        <color rgb="FF7F7F7F"/>
      </right>
      <top style="thin">
        <color rgb="FF7F7F7F"/>
      </top>
      <bottom style="thin">
        <color rgb="FF7F7F7F"/>
      </bottom>
      <diagonal/>
    </border>
  </borders>
  <cellStyleXfs count="3">
    <xf numFmtId="0" fontId="0" fillId="0" borderId="0">
      <alignment vertical="center"/>
    </xf>
    <xf numFmtId="0" fontId="3" fillId="0" borderId="0">
      <alignment vertical="center"/>
    </xf>
    <xf numFmtId="0" fontId="17" fillId="9" borderId="16" applyNumberFormat="0" applyAlignment="0" applyProtection="0">
      <alignment vertical="center"/>
    </xf>
  </cellStyleXfs>
  <cellXfs count="110">
    <xf numFmtId="0" fontId="0" fillId="0" borderId="0" xfId="0">
      <alignment vertical="center"/>
    </xf>
    <xf numFmtId="0" fontId="0" fillId="0" borderId="0" xfId="0" applyAlignment="1">
      <alignment vertical="center" wrapText="1"/>
    </xf>
    <xf numFmtId="0" fontId="3" fillId="0" borderId="0" xfId="1">
      <alignment vertical="center"/>
    </xf>
    <xf numFmtId="0" fontId="4" fillId="0" borderId="0" xfId="0" applyFont="1">
      <alignment vertical="center"/>
    </xf>
    <xf numFmtId="0" fontId="6" fillId="0" borderId="0" xfId="0" applyFont="1">
      <alignment vertical="center"/>
    </xf>
    <xf numFmtId="0" fontId="9" fillId="6" borderId="9"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8" fillId="6" borderId="13"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164" fontId="0" fillId="0" borderId="0" xfId="0" applyNumberFormat="1">
      <alignment vertical="center"/>
    </xf>
    <xf numFmtId="0" fontId="3" fillId="0" borderId="0" xfId="0" applyFont="1" applyAlignment="1">
      <alignment vertical="center" wrapText="1"/>
    </xf>
    <xf numFmtId="0" fontId="2" fillId="0" borderId="0" xfId="0" applyFont="1">
      <alignment vertical="center"/>
    </xf>
    <xf numFmtId="0" fontId="12" fillId="2"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3" fillId="3" borderId="1" xfId="0" applyFont="1" applyFill="1" applyBorder="1" applyAlignment="1">
      <alignment horizontal="justify" vertical="center" wrapText="1"/>
    </xf>
    <xf numFmtId="9" fontId="13" fillId="0" borderId="1" xfId="0" applyNumberFormat="1" applyFont="1" applyFill="1" applyBorder="1" applyAlignment="1">
      <alignment horizontal="center" vertical="center" wrapText="1"/>
    </xf>
    <xf numFmtId="9" fontId="13" fillId="0" borderId="1" xfId="0" applyNumberFormat="1" applyFont="1" applyBorder="1" applyAlignment="1">
      <alignment horizontal="center" vertical="center" wrapText="1"/>
    </xf>
    <xf numFmtId="0" fontId="13" fillId="7" borderId="2" xfId="0" applyFont="1" applyFill="1" applyBorder="1" applyAlignment="1">
      <alignment vertical="center" wrapText="1"/>
    </xf>
    <xf numFmtId="0" fontId="13" fillId="7" borderId="1" xfId="0" applyFont="1" applyFill="1" applyBorder="1" applyAlignment="1">
      <alignment horizontal="justify" vertical="center" wrapText="1"/>
    </xf>
    <xf numFmtId="0" fontId="13" fillId="4" borderId="1" xfId="0" applyFont="1" applyFill="1" applyBorder="1" applyAlignment="1">
      <alignment horizontal="justify" vertical="center" wrapText="1"/>
    </xf>
    <xf numFmtId="0" fontId="12" fillId="8" borderId="1" xfId="0" applyFont="1" applyFill="1" applyBorder="1" applyAlignment="1">
      <alignment horizontal="justify" vertical="center" wrapText="1"/>
    </xf>
    <xf numFmtId="0" fontId="13" fillId="4" borderId="1" xfId="0" applyFont="1" applyFill="1" applyBorder="1" applyAlignment="1">
      <alignment horizontal="justify" vertical="center"/>
    </xf>
    <xf numFmtId="0" fontId="13" fillId="0" borderId="1" xfId="0" applyFont="1" applyBorder="1">
      <alignment vertical="center"/>
    </xf>
    <xf numFmtId="0" fontId="13" fillId="0" borderId="1" xfId="0" applyFont="1" applyBorder="1" applyAlignment="1">
      <alignment horizontal="justify" vertical="center" wrapText="1"/>
    </xf>
    <xf numFmtId="0" fontId="16" fillId="0" borderId="0" xfId="0" applyFont="1">
      <alignment vertical="center"/>
    </xf>
    <xf numFmtId="165" fontId="12" fillId="2" borderId="1" xfId="0" applyNumberFormat="1" applyFont="1" applyFill="1" applyBorder="1" applyAlignment="1">
      <alignment horizontal="center" vertical="center" wrapText="1"/>
    </xf>
    <xf numFmtId="165" fontId="12" fillId="2" borderId="1" xfId="0" applyNumberFormat="1" applyFont="1" applyFill="1" applyBorder="1" applyAlignment="1">
      <alignment vertical="center" wrapText="1"/>
    </xf>
    <xf numFmtId="165" fontId="13" fillId="0" borderId="1"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13" fillId="0" borderId="1" xfId="0" applyNumberFormat="1" applyFont="1" applyFill="1" applyBorder="1" applyAlignment="1">
      <alignment horizontal="center" vertical="center"/>
    </xf>
    <xf numFmtId="165" fontId="13" fillId="7" borderId="1" xfId="0" applyNumberFormat="1" applyFont="1" applyFill="1" applyBorder="1" applyAlignment="1">
      <alignment horizontal="center" vertical="center" wrapText="1"/>
    </xf>
    <xf numFmtId="165" fontId="13" fillId="4" borderId="1" xfId="0" applyNumberFormat="1" applyFont="1" applyFill="1" applyBorder="1" applyAlignment="1">
      <alignment horizontal="center" vertical="center"/>
    </xf>
    <xf numFmtId="165" fontId="13" fillId="8" borderId="1" xfId="0" applyNumberFormat="1" applyFont="1" applyFill="1" applyBorder="1" applyAlignment="1">
      <alignment horizontal="center" vertical="center" wrapText="1"/>
    </xf>
    <xf numFmtId="165" fontId="16" fillId="0" borderId="0" xfId="0" applyNumberFormat="1" applyFont="1" applyAlignment="1">
      <alignment horizontal="center" vertical="center"/>
    </xf>
    <xf numFmtId="165" fontId="16" fillId="0" borderId="0" xfId="0" applyNumberFormat="1" applyFont="1">
      <alignment vertical="center"/>
    </xf>
    <xf numFmtId="0" fontId="13" fillId="8" borderId="2" xfId="0" applyFont="1" applyFill="1" applyBorder="1" applyAlignment="1">
      <alignment vertical="center" wrapText="1"/>
    </xf>
    <xf numFmtId="0" fontId="13" fillId="8" borderId="1" xfId="0" applyFont="1" applyFill="1" applyBorder="1" applyAlignment="1">
      <alignment horizontal="justify" vertical="center" wrapText="1"/>
    </xf>
    <xf numFmtId="0" fontId="13" fillId="0" borderId="0" xfId="0" applyFont="1">
      <alignment vertical="center"/>
    </xf>
    <xf numFmtId="165" fontId="13" fillId="0" borderId="0" xfId="0" applyNumberFormat="1" applyFont="1" applyAlignment="1">
      <alignment horizontal="center" vertical="center"/>
    </xf>
    <xf numFmtId="165" fontId="13" fillId="0" borderId="0" xfId="0" applyNumberFormat="1" applyFont="1">
      <alignment vertical="center"/>
    </xf>
    <xf numFmtId="0" fontId="12" fillId="2" borderId="1" xfId="0" applyFont="1" applyFill="1" applyBorder="1" applyAlignment="1">
      <alignment horizontal="justify" vertical="center"/>
    </xf>
    <xf numFmtId="9" fontId="13" fillId="0" borderId="1" xfId="0" applyNumberFormat="1" applyFont="1" applyBorder="1" applyAlignment="1">
      <alignment horizontal="center" vertical="center"/>
    </xf>
    <xf numFmtId="0" fontId="16" fillId="0" borderId="0" xfId="0" applyFont="1" applyAlignment="1">
      <alignment vertical="center"/>
    </xf>
    <xf numFmtId="165" fontId="12" fillId="2" borderId="1" xfId="0" applyNumberFormat="1" applyFont="1" applyFill="1" applyBorder="1" applyAlignment="1">
      <alignment vertical="center"/>
    </xf>
    <xf numFmtId="165" fontId="13" fillId="0" borderId="1" xfId="0" applyNumberFormat="1" applyFont="1" applyBorder="1" applyAlignment="1">
      <alignment horizontal="center" vertical="center"/>
    </xf>
    <xf numFmtId="165" fontId="13" fillId="0" borderId="1" xfId="0" applyNumberFormat="1" applyFont="1" applyBorder="1" applyAlignment="1" applyProtection="1">
      <alignment horizontal="center" vertical="center"/>
      <protection locked="0"/>
    </xf>
    <xf numFmtId="0" fontId="16" fillId="0" borderId="0" xfId="0" applyFont="1" applyAlignment="1">
      <alignment vertical="center" wrapText="1"/>
    </xf>
    <xf numFmtId="165" fontId="16" fillId="0" borderId="0" xfId="0" applyNumberFormat="1" applyFont="1" applyAlignment="1">
      <alignment horizontal="center" vertical="center" wrapText="1"/>
    </xf>
    <xf numFmtId="165" fontId="16" fillId="0" borderId="0" xfId="0" applyNumberFormat="1" applyFont="1" applyAlignment="1">
      <alignment vertical="center" wrapText="1"/>
    </xf>
    <xf numFmtId="165" fontId="18" fillId="2" borderId="1" xfId="0" applyNumberFormat="1" applyFont="1" applyFill="1" applyBorder="1" applyAlignment="1">
      <alignment horizontal="center" vertical="center"/>
    </xf>
    <xf numFmtId="0" fontId="19" fillId="0" borderId="1" xfId="0" applyFont="1" applyBorder="1" applyAlignment="1">
      <alignment horizontal="center" vertical="center"/>
    </xf>
    <xf numFmtId="9" fontId="19" fillId="0" borderId="1" xfId="0" applyNumberFormat="1" applyFont="1" applyBorder="1" applyAlignment="1">
      <alignment horizontal="center" vertical="center"/>
    </xf>
    <xf numFmtId="9" fontId="2" fillId="0" borderId="1" xfId="0" applyNumberFormat="1" applyFont="1" applyFill="1" applyBorder="1" applyAlignment="1">
      <alignment horizontal="center" vertical="center" wrapText="1"/>
    </xf>
    <xf numFmtId="1" fontId="2" fillId="0" borderId="1" xfId="2" applyNumberFormat="1" applyFont="1" applyFill="1" applyBorder="1" applyAlignment="1">
      <alignment horizontal="center" vertical="center"/>
    </xf>
    <xf numFmtId="165"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9"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5" fontId="2" fillId="0" borderId="1" xfId="0" applyNumberFormat="1" applyFont="1" applyBorder="1" applyAlignment="1">
      <alignment horizontal="center" vertical="center"/>
    </xf>
    <xf numFmtId="167" fontId="19" fillId="0" borderId="1" xfId="0" applyNumberFormat="1" applyFont="1" applyBorder="1" applyAlignment="1">
      <alignment horizontal="center" vertical="center"/>
    </xf>
    <xf numFmtId="165" fontId="2" fillId="8" borderId="1" xfId="0" applyNumberFormat="1" applyFont="1" applyFill="1" applyBorder="1" applyAlignment="1">
      <alignment horizontal="center" vertical="center" wrapText="1"/>
    </xf>
    <xf numFmtId="167" fontId="19" fillId="4" borderId="1" xfId="0" applyNumberFormat="1" applyFont="1" applyFill="1" applyBorder="1" applyAlignment="1">
      <alignment horizontal="center" vertical="center"/>
    </xf>
    <xf numFmtId="165" fontId="2" fillId="4" borderId="1" xfId="0" applyNumberFormat="1"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65" fontId="12" fillId="2" borderId="1" xfId="0" applyNumberFormat="1" applyFont="1" applyFill="1" applyBorder="1" applyAlignment="1">
      <alignment horizontal="center" vertical="center"/>
    </xf>
    <xf numFmtId="165" fontId="19" fillId="0" borderId="1" xfId="0" applyNumberFormat="1" applyFont="1" applyFill="1" applyBorder="1" applyAlignment="1">
      <alignment horizontal="center" vertical="center"/>
    </xf>
    <xf numFmtId="166" fontId="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165" fontId="12" fillId="0" borderId="1" xfId="0" applyNumberFormat="1" applyFont="1" applyFill="1" applyBorder="1" applyAlignment="1">
      <alignment horizontal="center" vertical="center"/>
    </xf>
    <xf numFmtId="0" fontId="0" fillId="0" borderId="0" xfId="0" applyFill="1">
      <alignment vertical="center"/>
    </xf>
    <xf numFmtId="0" fontId="20" fillId="0" borderId="0" xfId="0" applyFont="1">
      <alignment vertical="center"/>
    </xf>
    <xf numFmtId="168" fontId="12" fillId="2" borderId="1" xfId="0" applyNumberFormat="1" applyFont="1" applyFill="1" applyBorder="1" applyAlignment="1">
      <alignment vertical="center" wrapText="1"/>
    </xf>
    <xf numFmtId="168" fontId="13" fillId="0" borderId="1" xfId="0" applyNumberFormat="1" applyFont="1" applyFill="1" applyBorder="1" applyAlignment="1">
      <alignment horizontal="center" vertical="center" wrapText="1"/>
    </xf>
    <xf numFmtId="168" fontId="13" fillId="0" borderId="1" xfId="0" applyNumberFormat="1" applyFont="1" applyBorder="1" applyAlignment="1">
      <alignment horizontal="center" vertical="center" wrapText="1"/>
    </xf>
    <xf numFmtId="168" fontId="13" fillId="8" borderId="1" xfId="0" applyNumberFormat="1" applyFont="1" applyFill="1" applyBorder="1" applyAlignment="1">
      <alignment horizontal="center" vertical="center" wrapText="1"/>
    </xf>
    <xf numFmtId="168" fontId="13" fillId="4" borderId="1" xfId="0" applyNumberFormat="1" applyFont="1" applyFill="1" applyBorder="1" applyAlignment="1">
      <alignment horizontal="center" vertical="center" wrapText="1"/>
    </xf>
    <xf numFmtId="168" fontId="13" fillId="0" borderId="1" xfId="0" applyNumberFormat="1" applyFont="1" applyBorder="1" applyAlignment="1">
      <alignment horizontal="center" vertical="center"/>
    </xf>
    <xf numFmtId="0" fontId="13" fillId="3" borderId="1" xfId="0" applyFont="1" applyFill="1" applyBorder="1" applyAlignment="1">
      <alignment vertical="center" wrapText="1"/>
    </xf>
    <xf numFmtId="0" fontId="13" fillId="7" borderId="1" xfId="0" applyFont="1" applyFill="1" applyBorder="1" applyAlignment="1">
      <alignment vertical="center" wrapText="1"/>
    </xf>
    <xf numFmtId="0" fontId="13" fillId="4" borderId="1" xfId="0" applyFont="1" applyFill="1" applyBorder="1" applyAlignment="1">
      <alignment vertical="center" wrapText="1"/>
    </xf>
    <xf numFmtId="0" fontId="12" fillId="8" borderId="1" xfId="0" applyFont="1" applyFill="1" applyBorder="1" applyAlignment="1">
      <alignment vertical="center" wrapText="1"/>
    </xf>
    <xf numFmtId="0" fontId="13" fillId="4" borderId="1" xfId="0" applyFont="1" applyFill="1" applyBorder="1" applyAlignment="1">
      <alignment vertical="center"/>
    </xf>
    <xf numFmtId="0" fontId="13" fillId="0" borderId="1" xfId="0" applyFont="1" applyBorder="1" applyAlignment="1">
      <alignment vertical="center"/>
    </xf>
    <xf numFmtId="0" fontId="13" fillId="0" borderId="1" xfId="0" applyFont="1" applyBorder="1" applyAlignment="1">
      <alignment vertical="center" wrapText="1"/>
    </xf>
    <xf numFmtId="165" fontId="13" fillId="4" borderId="1" xfId="0" applyNumberFormat="1" applyFont="1" applyFill="1" applyBorder="1" applyAlignment="1">
      <alignment horizontal="center" vertical="center" wrapText="1"/>
    </xf>
    <xf numFmtId="0" fontId="21" fillId="0" borderId="0" xfId="0" applyFont="1">
      <alignment vertical="center"/>
    </xf>
    <xf numFmtId="0" fontId="22" fillId="0" borderId="0" xfId="0" applyFont="1">
      <alignment vertical="center"/>
    </xf>
    <xf numFmtId="0" fontId="22" fillId="0" borderId="0" xfId="0" applyFont="1" applyAlignment="1">
      <alignment vertical="top" wrapText="1"/>
    </xf>
    <xf numFmtId="165" fontId="12" fillId="2" borderId="5" xfId="0" applyNumberFormat="1" applyFont="1" applyFill="1" applyBorder="1" applyAlignment="1">
      <alignment horizontal="center" vertical="center" wrapText="1"/>
    </xf>
    <xf numFmtId="165" fontId="12" fillId="2" borderId="6" xfId="0" applyNumberFormat="1" applyFont="1" applyFill="1" applyBorder="1" applyAlignment="1">
      <alignment horizontal="center" vertical="center" wrapText="1"/>
    </xf>
    <xf numFmtId="165" fontId="12" fillId="2" borderId="4" xfId="0" applyNumberFormat="1" applyFont="1" applyFill="1" applyBorder="1" applyAlignment="1">
      <alignment horizontal="center" vertical="center" wrapText="1"/>
    </xf>
    <xf numFmtId="165" fontId="12" fillId="2" borderId="7" xfId="0" applyNumberFormat="1" applyFont="1" applyFill="1" applyBorder="1" applyAlignment="1">
      <alignment horizontal="center" vertical="center" wrapText="1"/>
    </xf>
    <xf numFmtId="165" fontId="12" fillId="2" borderId="5" xfId="0" applyNumberFormat="1" applyFont="1" applyFill="1" applyBorder="1" applyAlignment="1">
      <alignment horizontal="center" vertical="center"/>
    </xf>
    <xf numFmtId="165" fontId="12" fillId="2" borderId="6" xfId="0" applyNumberFormat="1" applyFont="1" applyFill="1" applyBorder="1" applyAlignment="1">
      <alignment horizontal="center" vertical="center"/>
    </xf>
    <xf numFmtId="165" fontId="12" fillId="5" borderId="4" xfId="0" applyNumberFormat="1" applyFont="1" applyFill="1" applyBorder="1" applyAlignment="1">
      <alignment horizontal="center" vertical="center" wrapText="1"/>
    </xf>
    <xf numFmtId="165" fontId="12" fillId="5" borderId="5" xfId="0" applyNumberFormat="1" applyFont="1" applyFill="1" applyBorder="1" applyAlignment="1">
      <alignment horizontal="center" vertical="center" wrapText="1"/>
    </xf>
    <xf numFmtId="165" fontId="12" fillId="5" borderId="6" xfId="0" applyNumberFormat="1"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0" xfId="0" applyFont="1" applyFill="1" applyBorder="1" applyAlignment="1">
      <alignment horizontal="center" vertical="center" wrapText="1"/>
    </xf>
  </cellXfs>
  <cellStyles count="3">
    <cellStyle name="Input" xfId="2" builtinId="20"/>
    <cellStyle name="Normal"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1" sqref="B1"/>
    </sheetView>
  </sheetViews>
  <sheetFormatPr defaultRowHeight="14.25"/>
  <cols>
    <col min="1" max="1" width="110.875" style="93" customWidth="1"/>
    <col min="2" max="16384" width="9" style="93"/>
  </cols>
  <sheetData>
    <row r="1" spans="1:2" ht="331.5" customHeight="1">
      <c r="A1" s="95" t="s">
        <v>222</v>
      </c>
      <c r="B1" s="94"/>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85" zoomScaleNormal="85" workbookViewId="0">
      <pane xSplit="1" ySplit="2" topLeftCell="B36" activePane="bottomRight" state="frozen"/>
      <selection pane="topRight" activeCell="B1" sqref="B1"/>
      <selection pane="bottomLeft" activeCell="A3" sqref="A3"/>
      <selection pane="bottomRight" activeCell="E41" sqref="E41"/>
    </sheetView>
  </sheetViews>
  <sheetFormatPr defaultRowHeight="14.25"/>
  <cols>
    <col min="1" max="1" width="62.125" style="30" bestFit="1" customWidth="1"/>
    <col min="2" max="2" width="16" style="39" customWidth="1"/>
    <col min="3" max="3" width="15.625" style="39" bestFit="1" customWidth="1"/>
    <col min="4" max="4" width="15.25" style="40" customWidth="1"/>
    <col min="5" max="5" width="14.75" style="40" customWidth="1"/>
  </cols>
  <sheetData>
    <row r="1" spans="1:5">
      <c r="A1" s="17" t="s">
        <v>0</v>
      </c>
      <c r="B1" s="96" t="s">
        <v>136</v>
      </c>
      <c r="C1" s="97"/>
      <c r="D1" s="96" t="s">
        <v>137</v>
      </c>
      <c r="E1" s="97"/>
    </row>
    <row r="2" spans="1:5" ht="28.5">
      <c r="A2" s="17"/>
      <c r="B2" s="31" t="s">
        <v>100</v>
      </c>
      <c r="C2" s="31" t="s">
        <v>101</v>
      </c>
      <c r="D2" s="31" t="s">
        <v>102</v>
      </c>
      <c r="E2" s="31" t="s">
        <v>103</v>
      </c>
    </row>
    <row r="3" spans="1:5" ht="15" customHeight="1">
      <c r="A3" s="19" t="s">
        <v>1</v>
      </c>
      <c r="B3" s="32"/>
      <c r="C3" s="32"/>
      <c r="D3" s="32"/>
      <c r="E3" s="32"/>
    </row>
    <row r="4" spans="1:5" ht="15">
      <c r="A4" s="20" t="s">
        <v>2</v>
      </c>
      <c r="B4" s="34">
        <v>4</v>
      </c>
      <c r="C4" s="34">
        <v>4</v>
      </c>
      <c r="D4" s="34">
        <v>4</v>
      </c>
      <c r="E4" s="34">
        <v>4</v>
      </c>
    </row>
    <row r="5" spans="1:5" ht="15">
      <c r="A5" s="20" t="s">
        <v>3</v>
      </c>
      <c r="B5" s="34">
        <v>3</v>
      </c>
      <c r="C5" s="34">
        <v>3</v>
      </c>
      <c r="D5" s="34">
        <v>3</v>
      </c>
      <c r="E5" s="34">
        <v>3</v>
      </c>
    </row>
    <row r="6" spans="1:5" ht="15">
      <c r="A6" s="20" t="s">
        <v>4</v>
      </c>
      <c r="B6" s="33">
        <v>1.5</v>
      </c>
      <c r="C6" s="33">
        <v>1.5</v>
      </c>
      <c r="D6" s="33">
        <v>1.5</v>
      </c>
      <c r="E6" s="33">
        <v>1.5</v>
      </c>
    </row>
    <row r="7" spans="1:5" ht="31.5">
      <c r="A7" s="20" t="s">
        <v>109</v>
      </c>
      <c r="B7" s="21" t="s">
        <v>161</v>
      </c>
      <c r="C7" s="22">
        <v>0.95</v>
      </c>
      <c r="D7" s="22" t="s">
        <v>161</v>
      </c>
      <c r="E7" s="22">
        <v>0.95</v>
      </c>
    </row>
    <row r="8" spans="1:5" ht="31.5">
      <c r="A8" s="20" t="s">
        <v>110</v>
      </c>
      <c r="B8" s="21">
        <v>0.9</v>
      </c>
      <c r="C8" s="22" t="s">
        <v>161</v>
      </c>
      <c r="D8" s="22">
        <v>0.9</v>
      </c>
      <c r="E8" s="22" t="s">
        <v>161</v>
      </c>
    </row>
    <row r="9" spans="1:5" ht="15">
      <c r="A9" s="20" t="s">
        <v>5</v>
      </c>
      <c r="B9" s="33" t="s">
        <v>161</v>
      </c>
      <c r="C9" s="34">
        <f>64/(0.5*0.001)</f>
        <v>128000</v>
      </c>
      <c r="D9" s="34" t="s">
        <v>161</v>
      </c>
      <c r="E9" s="34">
        <f>2/(0.5*0.001)</f>
        <v>4000</v>
      </c>
    </row>
    <row r="10" spans="1:5" ht="15">
      <c r="A10" s="20" t="s">
        <v>6</v>
      </c>
      <c r="B10" s="33">
        <f>4650676*3</f>
        <v>13952028</v>
      </c>
      <c r="C10" s="34" t="s">
        <v>161</v>
      </c>
      <c r="D10" s="35">
        <f>371520*3</f>
        <v>1114560</v>
      </c>
      <c r="E10" s="34" t="s">
        <v>161</v>
      </c>
    </row>
    <row r="11" spans="1:5" ht="15">
      <c r="A11" s="20" t="s">
        <v>7</v>
      </c>
      <c r="B11" s="21" t="s">
        <v>161</v>
      </c>
      <c r="C11" s="22">
        <v>0.01</v>
      </c>
      <c r="D11" s="22" t="s">
        <v>161</v>
      </c>
      <c r="E11" s="22">
        <v>0.01</v>
      </c>
    </row>
    <row r="12" spans="1:5" ht="15">
      <c r="A12" s="20" t="s">
        <v>8</v>
      </c>
      <c r="B12" s="21">
        <v>0.1</v>
      </c>
      <c r="C12" s="22" t="s">
        <v>161</v>
      </c>
      <c r="D12" s="22">
        <v>0.1</v>
      </c>
      <c r="E12" s="22" t="s">
        <v>161</v>
      </c>
    </row>
    <row r="13" spans="1:5" ht="16.5">
      <c r="A13" s="20" t="s">
        <v>111</v>
      </c>
      <c r="B13" s="33">
        <f>B10/(B42*(3+11/14)/5)</f>
        <v>1.0036605006782588</v>
      </c>
      <c r="C13" s="34" t="s">
        <v>161</v>
      </c>
      <c r="D13" s="33">
        <f>D10/(D42*(1+3/14)/5)</f>
        <v>1.5935294117647061</v>
      </c>
      <c r="E13" s="34" t="s">
        <v>161</v>
      </c>
    </row>
    <row r="14" spans="1:5" ht="16.5">
      <c r="A14" s="20" t="s">
        <v>112</v>
      </c>
      <c r="B14" s="34" t="s">
        <v>162</v>
      </c>
      <c r="C14" s="34" t="s">
        <v>162</v>
      </c>
      <c r="D14" s="34" t="s">
        <v>162</v>
      </c>
      <c r="E14" s="34" t="s">
        <v>162</v>
      </c>
    </row>
    <row r="15" spans="1:5" ht="15">
      <c r="A15" s="20" t="s">
        <v>113</v>
      </c>
      <c r="B15" s="33">
        <v>3</v>
      </c>
      <c r="C15" s="34">
        <v>3</v>
      </c>
      <c r="D15" s="34">
        <v>3</v>
      </c>
      <c r="E15" s="34">
        <v>3</v>
      </c>
    </row>
    <row r="16" spans="1:5" ht="15">
      <c r="A16" s="20" t="s">
        <v>9</v>
      </c>
      <c r="B16" s="33">
        <v>3</v>
      </c>
      <c r="C16" s="34">
        <v>3</v>
      </c>
      <c r="D16" s="34">
        <v>3</v>
      </c>
      <c r="E16" s="34">
        <v>3</v>
      </c>
    </row>
    <row r="17" spans="1:5" ht="15" customHeight="1">
      <c r="A17" s="19" t="s">
        <v>10</v>
      </c>
      <c r="B17" s="32"/>
      <c r="C17" s="32"/>
      <c r="D17" s="32"/>
      <c r="E17" s="32"/>
    </row>
    <row r="18" spans="1:5" ht="30">
      <c r="A18" s="20" t="s">
        <v>114</v>
      </c>
      <c r="B18" s="33">
        <v>32</v>
      </c>
      <c r="C18" s="34">
        <v>32</v>
      </c>
      <c r="D18" s="34">
        <v>2</v>
      </c>
      <c r="E18" s="34">
        <v>2</v>
      </c>
    </row>
    <row r="19" spans="1:5" ht="15">
      <c r="A19" s="20" t="s">
        <v>215</v>
      </c>
      <c r="B19" s="33">
        <v>2</v>
      </c>
      <c r="C19" s="34">
        <v>2</v>
      </c>
      <c r="D19" s="34">
        <v>2</v>
      </c>
      <c r="E19" s="34">
        <v>2</v>
      </c>
    </row>
    <row r="20" spans="1:5" ht="15">
      <c r="A20" s="20" t="s">
        <v>11</v>
      </c>
      <c r="B20" s="33">
        <v>9</v>
      </c>
      <c r="C20" s="34">
        <v>9</v>
      </c>
      <c r="D20" s="34">
        <v>20</v>
      </c>
      <c r="E20" s="34">
        <v>20</v>
      </c>
    </row>
    <row r="21" spans="1:5" ht="30">
      <c r="A21" s="23" t="s">
        <v>115</v>
      </c>
      <c r="B21" s="36">
        <f t="shared" ref="B21:E21" si="0">B20+10*LOG10(B18)</f>
        <v>24.051499783199063</v>
      </c>
      <c r="C21" s="36">
        <f t="shared" si="0"/>
        <v>24.051499783199063</v>
      </c>
      <c r="D21" s="36">
        <f t="shared" si="0"/>
        <v>23.010299956639813</v>
      </c>
      <c r="E21" s="36">
        <f t="shared" si="0"/>
        <v>23.010299956639813</v>
      </c>
    </row>
    <row r="22" spans="1:5" ht="15">
      <c r="A22" s="20" t="s">
        <v>12</v>
      </c>
      <c r="B22" s="33">
        <v>5</v>
      </c>
      <c r="C22" s="34">
        <v>5</v>
      </c>
      <c r="D22" s="34">
        <v>0</v>
      </c>
      <c r="E22" s="34">
        <v>0</v>
      </c>
    </row>
    <row r="23" spans="1:5" ht="45">
      <c r="A23" s="24" t="s">
        <v>216</v>
      </c>
      <c r="B23" s="36">
        <f t="shared" ref="B23:E23" si="1">IF(B18&gt;=2, 10*LOG10(B18/2), 0)</f>
        <v>12.041199826559248</v>
      </c>
      <c r="C23" s="36">
        <f t="shared" si="1"/>
        <v>12.041199826559248</v>
      </c>
      <c r="D23" s="36">
        <f t="shared" si="1"/>
        <v>0</v>
      </c>
      <c r="E23" s="36">
        <f t="shared" si="1"/>
        <v>0</v>
      </c>
    </row>
    <row r="24" spans="1:5" ht="15">
      <c r="A24" s="20" t="s">
        <v>14</v>
      </c>
      <c r="B24" s="33">
        <v>0</v>
      </c>
      <c r="C24" s="33">
        <v>0</v>
      </c>
      <c r="D24" s="34">
        <v>0</v>
      </c>
      <c r="E24" s="34">
        <v>0</v>
      </c>
    </row>
    <row r="25" spans="1:5" ht="15.75" customHeight="1">
      <c r="A25" s="20" t="s">
        <v>15</v>
      </c>
      <c r="B25" s="33">
        <v>0</v>
      </c>
      <c r="C25" s="33">
        <v>0</v>
      </c>
      <c r="D25" s="34">
        <v>0</v>
      </c>
      <c r="E25" s="34">
        <v>0</v>
      </c>
    </row>
    <row r="26" spans="1:5" ht="30">
      <c r="A26" s="20" t="s">
        <v>16</v>
      </c>
      <c r="B26" s="33">
        <v>3</v>
      </c>
      <c r="C26" s="33">
        <v>3</v>
      </c>
      <c r="D26" s="34">
        <v>1</v>
      </c>
      <c r="E26" s="34">
        <v>1</v>
      </c>
    </row>
    <row r="27" spans="1:5" ht="15">
      <c r="A27" s="25" t="s">
        <v>17</v>
      </c>
      <c r="B27" s="37">
        <f t="shared" ref="B27:E27" si="2">B21+B22+B23+B24-B26</f>
        <v>38.092699609758313</v>
      </c>
      <c r="C27" s="37">
        <f t="shared" si="2"/>
        <v>38.092699609758313</v>
      </c>
      <c r="D27" s="37">
        <f>D21+D22+D23+D24-D26</f>
        <v>22.010299956639813</v>
      </c>
      <c r="E27" s="37">
        <f t="shared" si="2"/>
        <v>22.010299956639813</v>
      </c>
    </row>
    <row r="28" spans="1:5" ht="15">
      <c r="A28" s="25" t="s">
        <v>18</v>
      </c>
      <c r="B28" s="37">
        <f t="shared" ref="B28:E28" si="3">B21+B22+B23-B25-B26</f>
        <v>38.092699609758313</v>
      </c>
      <c r="C28" s="37">
        <f t="shared" si="3"/>
        <v>38.092699609758313</v>
      </c>
      <c r="D28" s="37">
        <f t="shared" si="3"/>
        <v>22.010299956639813</v>
      </c>
      <c r="E28" s="37">
        <f t="shared" si="3"/>
        <v>22.010299956639813</v>
      </c>
    </row>
    <row r="29" spans="1:5">
      <c r="A29" s="19" t="s">
        <v>19</v>
      </c>
      <c r="B29" s="32"/>
      <c r="C29" s="32"/>
      <c r="D29" s="32"/>
      <c r="E29" s="32"/>
    </row>
    <row r="30" spans="1:5" ht="30">
      <c r="A30" s="20" t="s">
        <v>116</v>
      </c>
      <c r="B30" s="33">
        <v>4</v>
      </c>
      <c r="C30" s="33">
        <v>4</v>
      </c>
      <c r="D30" s="34">
        <v>32</v>
      </c>
      <c r="E30" s="34">
        <v>32</v>
      </c>
    </row>
    <row r="31" spans="1:5" ht="15">
      <c r="A31" s="20" t="s">
        <v>217</v>
      </c>
      <c r="B31" s="33">
        <v>2</v>
      </c>
      <c r="C31" s="33">
        <v>2</v>
      </c>
      <c r="D31" s="34">
        <v>2</v>
      </c>
      <c r="E31" s="34">
        <v>2</v>
      </c>
    </row>
    <row r="32" spans="1:5" ht="15">
      <c r="A32" s="20" t="s">
        <v>20</v>
      </c>
      <c r="B32" s="33">
        <v>0</v>
      </c>
      <c r="C32" s="33">
        <v>0</v>
      </c>
      <c r="D32" s="34">
        <v>5</v>
      </c>
      <c r="E32" s="34">
        <v>5</v>
      </c>
    </row>
    <row r="33" spans="1:5" ht="28.5">
      <c r="A33" s="26" t="s">
        <v>98</v>
      </c>
      <c r="B33" s="38">
        <f t="shared" ref="B33:E33" si="4">IF(B30&gt;=2, 10*LOG10(B30/2), 0)</f>
        <v>3.0102999566398121</v>
      </c>
      <c r="C33" s="38">
        <f t="shared" si="4"/>
        <v>3.0102999566398121</v>
      </c>
      <c r="D33" s="38">
        <f t="shared" si="4"/>
        <v>12.041199826559248</v>
      </c>
      <c r="E33" s="38">
        <f t="shared" si="4"/>
        <v>12.041199826559248</v>
      </c>
    </row>
    <row r="34" spans="1:5" ht="30">
      <c r="A34" s="20" t="s">
        <v>21</v>
      </c>
      <c r="B34" s="33">
        <v>1</v>
      </c>
      <c r="C34" s="33">
        <v>1</v>
      </c>
      <c r="D34" s="34">
        <v>3</v>
      </c>
      <c r="E34" s="34">
        <v>3</v>
      </c>
    </row>
    <row r="35" spans="1:5" ht="15">
      <c r="A35" s="20" t="s">
        <v>22</v>
      </c>
      <c r="B35" s="34">
        <v>7</v>
      </c>
      <c r="C35" s="34">
        <v>7</v>
      </c>
      <c r="D35" s="34">
        <v>5</v>
      </c>
      <c r="E35" s="34">
        <v>5</v>
      </c>
    </row>
    <row r="36" spans="1:5" ht="15">
      <c r="A36" s="20" t="s">
        <v>23</v>
      </c>
      <c r="B36" s="34">
        <v>-174</v>
      </c>
      <c r="C36" s="34">
        <v>-174</v>
      </c>
      <c r="D36" s="34">
        <v>-174</v>
      </c>
      <c r="E36" s="34">
        <v>-174</v>
      </c>
    </row>
    <row r="37" spans="1:5" ht="30">
      <c r="A37" s="20" t="s">
        <v>218</v>
      </c>
      <c r="B37" s="33" t="s">
        <v>161</v>
      </c>
      <c r="C37" s="34">
        <v>-174</v>
      </c>
      <c r="D37" s="34" t="s">
        <v>161</v>
      </c>
      <c r="E37" s="34">
        <v>-174.9</v>
      </c>
    </row>
    <row r="38" spans="1:5" ht="15">
      <c r="A38" s="20" t="s">
        <v>25</v>
      </c>
      <c r="B38" s="33">
        <v>-174</v>
      </c>
      <c r="C38" s="34" t="s">
        <v>161</v>
      </c>
      <c r="D38" s="34">
        <v>-174.9</v>
      </c>
      <c r="E38" s="34" t="s">
        <v>161</v>
      </c>
    </row>
    <row r="39" spans="1:5" ht="39" customHeight="1">
      <c r="A39" s="27" t="s">
        <v>45</v>
      </c>
      <c r="B39" s="37" t="s">
        <v>208</v>
      </c>
      <c r="C39" s="37">
        <f t="shared" ref="C39:E39" si="5">10*LOG10(10^((C35+C36)/10)+10^(C37/10))</f>
        <v>-166.20990250347435</v>
      </c>
      <c r="D39" s="37" t="s">
        <v>208</v>
      </c>
      <c r="E39" s="37">
        <f t="shared" si="5"/>
        <v>-168.00651048203736</v>
      </c>
    </row>
    <row r="40" spans="1:5" ht="45">
      <c r="A40" s="27" t="s">
        <v>46</v>
      </c>
      <c r="B40" s="37">
        <f t="shared" ref="B40:D40" si="6">10*LOG10(10^((B35+B36)/10)+10^(B38/10))</f>
        <v>-166.20990250347435</v>
      </c>
      <c r="C40" s="37" t="s">
        <v>208</v>
      </c>
      <c r="D40" s="37">
        <f t="shared" si="6"/>
        <v>-168.00651048203736</v>
      </c>
      <c r="E40" s="37" t="s">
        <v>208</v>
      </c>
    </row>
    <row r="41" spans="1:5" ht="30">
      <c r="A41" s="20" t="s">
        <v>26</v>
      </c>
      <c r="B41" s="33" t="s">
        <v>161</v>
      </c>
      <c r="C41" s="33">
        <f>MaxN_RB!$F$7*12*30*1000</f>
        <v>18360000</v>
      </c>
      <c r="D41" s="34" t="s">
        <v>161</v>
      </c>
      <c r="E41" s="34">
        <f>1*12*30*1000</f>
        <v>360000</v>
      </c>
    </row>
    <row r="42" spans="1:5" ht="30">
      <c r="A42" s="20" t="s">
        <v>27</v>
      </c>
      <c r="B42" s="33">
        <f>MaxN_RB!$F$7*12*30*1000</f>
        <v>18360000</v>
      </c>
      <c r="C42" s="34" t="s">
        <v>161</v>
      </c>
      <c r="D42" s="34">
        <f>8*12*30*1000</f>
        <v>2880000</v>
      </c>
      <c r="E42" s="34" t="s">
        <v>161</v>
      </c>
    </row>
    <row r="43" spans="1:5" ht="15">
      <c r="A43" s="25" t="s">
        <v>28</v>
      </c>
      <c r="B43" s="37" t="s">
        <v>208</v>
      </c>
      <c r="C43" s="37">
        <f t="shared" ref="B43:E44" si="7">C39+10*LOG10(C41)</f>
        <v>-93.57117573482212</v>
      </c>
      <c r="D43" s="37" t="s">
        <v>208</v>
      </c>
      <c r="E43" s="37">
        <f t="shared" si="7"/>
        <v>-112.44348547436448</v>
      </c>
    </row>
    <row r="44" spans="1:5" ht="15">
      <c r="A44" s="25" t="s">
        <v>29</v>
      </c>
      <c r="B44" s="37">
        <f t="shared" si="7"/>
        <v>-93.57117573482212</v>
      </c>
      <c r="C44" s="37" t="s">
        <v>208</v>
      </c>
      <c r="D44" s="37">
        <f t="shared" si="7"/>
        <v>-103.41258560444506</v>
      </c>
      <c r="E44" s="37" t="s">
        <v>208</v>
      </c>
    </row>
    <row r="45" spans="1:5" ht="15">
      <c r="A45" s="20" t="s">
        <v>30</v>
      </c>
      <c r="B45" s="33" t="s">
        <v>161</v>
      </c>
      <c r="C45" s="71">
        <v>-7.4</v>
      </c>
      <c r="D45" s="33" t="s">
        <v>161</v>
      </c>
      <c r="E45" s="71">
        <v>-7.6</v>
      </c>
    </row>
    <row r="46" spans="1:5" ht="15">
      <c r="A46" s="20" t="s">
        <v>31</v>
      </c>
      <c r="B46" s="70">
        <v>5.2</v>
      </c>
      <c r="C46" s="34" t="s">
        <v>161</v>
      </c>
      <c r="D46" s="70">
        <v>11.8</v>
      </c>
      <c r="E46" s="34" t="s">
        <v>161</v>
      </c>
    </row>
    <row r="47" spans="1:5" ht="15">
      <c r="A47" s="20" t="s">
        <v>32</v>
      </c>
      <c r="B47" s="33">
        <v>2</v>
      </c>
      <c r="C47" s="34">
        <v>2</v>
      </c>
      <c r="D47" s="34">
        <v>2</v>
      </c>
      <c r="E47" s="34">
        <v>2</v>
      </c>
    </row>
    <row r="48" spans="1:5" ht="15">
      <c r="A48" s="20" t="s">
        <v>33</v>
      </c>
      <c r="B48" s="33" t="s">
        <v>161</v>
      </c>
      <c r="C48" s="34">
        <v>0</v>
      </c>
      <c r="D48" s="34" t="s">
        <v>161</v>
      </c>
      <c r="E48" s="34">
        <v>0</v>
      </c>
    </row>
    <row r="49" spans="1:5" ht="15">
      <c r="A49" s="20" t="s">
        <v>34</v>
      </c>
      <c r="B49" s="33">
        <v>0.5</v>
      </c>
      <c r="C49" s="34" t="s">
        <v>161</v>
      </c>
      <c r="D49" s="34">
        <v>0.5</v>
      </c>
      <c r="E49" s="34" t="s">
        <v>161</v>
      </c>
    </row>
    <row r="50" spans="1:5" ht="30">
      <c r="A50" s="27" t="s">
        <v>47</v>
      </c>
      <c r="B50" s="37" t="s">
        <v>208</v>
      </c>
      <c r="C50" s="37">
        <f t="shared" ref="C50:E50" si="8">C43+C45+C47-C48</f>
        <v>-98.971175734822125</v>
      </c>
      <c r="D50" s="37" t="s">
        <v>208</v>
      </c>
      <c r="E50" s="37">
        <f t="shared" si="8"/>
        <v>-118.04348547436447</v>
      </c>
    </row>
    <row r="51" spans="1:5" ht="30">
      <c r="A51" s="27" t="s">
        <v>48</v>
      </c>
      <c r="B51" s="37">
        <f t="shared" ref="B51:D51" si="9">B44+B46+B47-B49</f>
        <v>-86.871175734822117</v>
      </c>
      <c r="C51" s="37" t="s">
        <v>208</v>
      </c>
      <c r="D51" s="37">
        <f t="shared" si="9"/>
        <v>-90.112585604445059</v>
      </c>
      <c r="E51" s="37" t="s">
        <v>208</v>
      </c>
    </row>
    <row r="52" spans="1:5" ht="30">
      <c r="A52" s="27" t="s">
        <v>117</v>
      </c>
      <c r="B52" s="37" t="s">
        <v>208</v>
      </c>
      <c r="C52" s="37">
        <f t="shared" ref="C52:E52" si="10">C27+C32+C33-C50</f>
        <v>140.07417530122024</v>
      </c>
      <c r="D52" s="37" t="s">
        <v>208</v>
      </c>
      <c r="E52" s="37">
        <f t="shared" si="10"/>
        <v>157.09498525756354</v>
      </c>
    </row>
    <row r="53" spans="1:5" ht="30">
      <c r="A53" s="27" t="s">
        <v>118</v>
      </c>
      <c r="B53" s="37">
        <f t="shared" ref="B53:D53" si="11">B28+B32+B33-B51</f>
        <v>127.97417530122024</v>
      </c>
      <c r="C53" s="37" t="s">
        <v>208</v>
      </c>
      <c r="D53" s="37">
        <f t="shared" si="11"/>
        <v>129.16408538764412</v>
      </c>
      <c r="E53" s="37" t="s">
        <v>208</v>
      </c>
    </row>
    <row r="54" spans="1:5">
      <c r="A54" s="19" t="s">
        <v>35</v>
      </c>
      <c r="B54" s="32"/>
      <c r="C54" s="32"/>
      <c r="D54" s="32"/>
      <c r="E54" s="32"/>
    </row>
    <row r="55" spans="1:5" ht="15">
      <c r="A55" s="20" t="s">
        <v>36</v>
      </c>
      <c r="B55" s="34">
        <v>4</v>
      </c>
      <c r="C55" s="34">
        <v>4</v>
      </c>
      <c r="D55" s="34">
        <v>4</v>
      </c>
      <c r="E55" s="34">
        <v>4</v>
      </c>
    </row>
    <row r="56" spans="1:5" ht="30">
      <c r="A56" s="20" t="s">
        <v>37</v>
      </c>
      <c r="B56" s="34" t="s">
        <v>106</v>
      </c>
      <c r="C56" s="34">
        <v>8.5</v>
      </c>
      <c r="D56" s="34" t="s">
        <v>106</v>
      </c>
      <c r="E56" s="34">
        <v>8.5</v>
      </c>
    </row>
    <row r="57" spans="1:5" ht="30">
      <c r="A57" s="20" t="s">
        <v>38</v>
      </c>
      <c r="B57" s="34">
        <v>5.2</v>
      </c>
      <c r="C57" s="34" t="s">
        <v>106</v>
      </c>
      <c r="D57" s="34">
        <v>5.2</v>
      </c>
      <c r="E57" s="34" t="s">
        <v>106</v>
      </c>
    </row>
    <row r="58" spans="1:5" ht="28.5" customHeight="1">
      <c r="A58" s="20" t="s">
        <v>39</v>
      </c>
      <c r="B58" s="34"/>
      <c r="C58" s="34"/>
      <c r="D58" s="34"/>
      <c r="E58" s="34"/>
    </row>
    <row r="59" spans="1:5" ht="15">
      <c r="A59" s="20" t="s">
        <v>40</v>
      </c>
      <c r="B59" s="34">
        <v>0</v>
      </c>
      <c r="C59" s="34">
        <v>0</v>
      </c>
      <c r="D59" s="34">
        <v>0</v>
      </c>
      <c r="E59" s="34">
        <v>0</v>
      </c>
    </row>
    <row r="60" spans="1:5" ht="15">
      <c r="A60" s="20" t="s">
        <v>41</v>
      </c>
      <c r="B60" s="34"/>
      <c r="C60" s="34"/>
      <c r="D60" s="34"/>
      <c r="E60" s="34"/>
    </row>
    <row r="61" spans="1:5" ht="30">
      <c r="A61" s="27" t="s">
        <v>54</v>
      </c>
      <c r="B61" s="37" t="s">
        <v>208</v>
      </c>
      <c r="C61" s="37">
        <f>C52-C56+C58-C59+C60-C34</f>
        <v>130.57417530122024</v>
      </c>
      <c r="D61" s="37" t="s">
        <v>208</v>
      </c>
      <c r="E61" s="37">
        <f>E52-E56+E58-E59+E60-E34</f>
        <v>145.59498525756354</v>
      </c>
    </row>
    <row r="62" spans="1:5" ht="30">
      <c r="A62" s="27" t="s">
        <v>49</v>
      </c>
      <c r="B62" s="37">
        <f>B53-B57+B58-B59+B60-B34</f>
        <v>121.77417530122024</v>
      </c>
      <c r="C62" s="37" t="s">
        <v>208</v>
      </c>
      <c r="D62" s="37">
        <f>D53-D57+D58-D59+D60-D34</f>
        <v>120.96408538764412</v>
      </c>
      <c r="E62" s="37" t="s">
        <v>208</v>
      </c>
    </row>
    <row r="63" spans="1:5">
      <c r="A63" s="19" t="s">
        <v>42</v>
      </c>
      <c r="B63" s="32"/>
      <c r="C63" s="32"/>
      <c r="D63" s="32"/>
      <c r="E63" s="32"/>
    </row>
    <row r="64" spans="1:5" ht="30">
      <c r="A64" s="29" t="s">
        <v>219</v>
      </c>
      <c r="B64" s="34" t="s">
        <v>105</v>
      </c>
      <c r="C64" s="34">
        <f>10^((C61-17.3-24.9*LOG10(C$4))/38.3)</f>
        <v>368.24145399038275</v>
      </c>
      <c r="D64" s="34" t="s">
        <v>105</v>
      </c>
      <c r="E64" s="34">
        <f>10^((E61-17.3-24.9*LOG10(E$4))/38.3)</f>
        <v>908.49162105804112</v>
      </c>
    </row>
    <row r="65" spans="1:5" ht="30">
      <c r="A65" s="29" t="s">
        <v>44</v>
      </c>
      <c r="B65" s="34">
        <f>10^((B62-17.3-24.9*LOG10(B$4))/38.3)</f>
        <v>216.95400098343259</v>
      </c>
      <c r="C65" s="34" t="s">
        <v>105</v>
      </c>
      <c r="D65" s="34">
        <f>10^((D62-17.3-24.9*LOG10(D$4))/38.3)</f>
        <v>206.64099814375757</v>
      </c>
      <c r="E65" s="34" t="s">
        <v>105</v>
      </c>
    </row>
    <row r="66" spans="1:5" ht="18">
      <c r="A66" s="29" t="s">
        <v>220</v>
      </c>
      <c r="B66" s="34" t="s">
        <v>68</v>
      </c>
      <c r="C66" s="34">
        <f>PI()*(C64)^2</f>
        <v>426005.5195353101</v>
      </c>
      <c r="D66" s="34" t="s">
        <v>68</v>
      </c>
      <c r="E66" s="34">
        <f>PI()*(E64)^2</f>
        <v>2592935.5680021513</v>
      </c>
    </row>
    <row r="67" spans="1:5" ht="18">
      <c r="A67" s="29" t="s">
        <v>121</v>
      </c>
      <c r="B67" s="34">
        <f>PI()*(B65)^2</f>
        <v>147871.74569734168</v>
      </c>
      <c r="C67" s="34" t="s">
        <v>68</v>
      </c>
      <c r="D67" s="34">
        <f>PI()*(D65)^2</f>
        <v>134147.58374546163</v>
      </c>
      <c r="E67" s="34" t="s">
        <v>68</v>
      </c>
    </row>
    <row r="71" spans="1:5">
      <c r="D71" s="39"/>
    </row>
    <row r="72" spans="1:5">
      <c r="D72" s="39"/>
    </row>
  </sheetData>
  <mergeCells count="2">
    <mergeCell ref="D1:E1"/>
    <mergeCell ref="B1:C1"/>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A37" workbookViewId="0">
      <selection activeCell="D42" sqref="D42"/>
    </sheetView>
  </sheetViews>
  <sheetFormatPr defaultRowHeight="14.25"/>
  <cols>
    <col min="1" max="1" width="62.125" style="48" bestFit="1" customWidth="1"/>
    <col min="2" max="2" width="16" style="39" customWidth="1"/>
    <col min="3" max="3" width="15.625" style="39" bestFit="1" customWidth="1"/>
    <col min="4" max="4" width="15.25" style="40" customWidth="1"/>
    <col min="5" max="5" width="14.75" style="40" customWidth="1"/>
  </cols>
  <sheetData>
    <row r="1" spans="1:5">
      <c r="A1" s="19" t="s">
        <v>0</v>
      </c>
      <c r="B1" s="98" t="s">
        <v>164</v>
      </c>
      <c r="C1" s="96"/>
      <c r="D1" s="96" t="s">
        <v>165</v>
      </c>
      <c r="E1" s="97"/>
    </row>
    <row r="2" spans="1:5" ht="28.5">
      <c r="A2" s="19"/>
      <c r="B2" s="31" t="s">
        <v>51</v>
      </c>
      <c r="C2" s="31" t="s">
        <v>200</v>
      </c>
      <c r="D2" s="31" t="s">
        <v>53</v>
      </c>
      <c r="E2" s="31" t="s">
        <v>59</v>
      </c>
    </row>
    <row r="3" spans="1:5">
      <c r="A3" s="19" t="s">
        <v>1</v>
      </c>
      <c r="B3" s="79"/>
      <c r="C3" s="79"/>
      <c r="D3" s="79"/>
      <c r="E3" s="79"/>
    </row>
    <row r="4" spans="1:5" ht="15">
      <c r="A4" s="85" t="s">
        <v>2</v>
      </c>
      <c r="B4" s="34">
        <v>4</v>
      </c>
      <c r="C4" s="34">
        <v>4</v>
      </c>
      <c r="D4" s="34">
        <v>4</v>
      </c>
      <c r="E4" s="34">
        <v>4</v>
      </c>
    </row>
    <row r="5" spans="1:5" ht="15">
      <c r="A5" s="85" t="s">
        <v>3</v>
      </c>
      <c r="B5" s="34">
        <v>3</v>
      </c>
      <c r="C5" s="34">
        <v>3</v>
      </c>
      <c r="D5" s="34">
        <v>3</v>
      </c>
      <c r="E5" s="34">
        <v>3</v>
      </c>
    </row>
    <row r="6" spans="1:5" ht="15">
      <c r="A6" s="85" t="s">
        <v>4</v>
      </c>
      <c r="B6" s="33">
        <v>1.5</v>
      </c>
      <c r="C6" s="33">
        <v>1.5</v>
      </c>
      <c r="D6" s="33">
        <v>1.5</v>
      </c>
      <c r="E6" s="33">
        <v>1.5</v>
      </c>
    </row>
    <row r="7" spans="1:5" ht="31.5">
      <c r="A7" s="85" t="s">
        <v>109</v>
      </c>
      <c r="B7" s="21" t="s">
        <v>106</v>
      </c>
      <c r="C7" s="22">
        <v>0.95</v>
      </c>
      <c r="D7" s="22" t="s">
        <v>106</v>
      </c>
      <c r="E7" s="22">
        <v>0.95</v>
      </c>
    </row>
    <row r="8" spans="1:5" ht="31.5">
      <c r="A8" s="85" t="s">
        <v>110</v>
      </c>
      <c r="B8" s="21">
        <v>0.9</v>
      </c>
      <c r="C8" s="22" t="s">
        <v>106</v>
      </c>
      <c r="D8" s="22">
        <v>0.9</v>
      </c>
      <c r="E8" s="22" t="s">
        <v>106</v>
      </c>
    </row>
    <row r="9" spans="1:5" ht="15">
      <c r="A9" s="85" t="s">
        <v>5</v>
      </c>
      <c r="B9" s="33" t="s">
        <v>106</v>
      </c>
      <c r="C9" s="34">
        <f>64/(0.001)</f>
        <v>64000</v>
      </c>
      <c r="D9" s="34" t="s">
        <v>106</v>
      </c>
      <c r="E9" s="34">
        <f>2/(0.5*0.001)</f>
        <v>4000</v>
      </c>
    </row>
    <row r="10" spans="1:5" ht="15">
      <c r="A10" s="85" t="s">
        <v>6</v>
      </c>
      <c r="B10" s="33">
        <f>4650676*3</f>
        <v>13952028</v>
      </c>
      <c r="C10" s="34" t="s">
        <v>106</v>
      </c>
      <c r="D10" s="35">
        <f>371520*3</f>
        <v>1114560</v>
      </c>
      <c r="E10" s="34" t="s">
        <v>106</v>
      </c>
    </row>
    <row r="11" spans="1:5" ht="15">
      <c r="A11" s="85" t="s">
        <v>7</v>
      </c>
      <c r="B11" s="21" t="s">
        <v>106</v>
      </c>
      <c r="C11" s="22">
        <v>0.01</v>
      </c>
      <c r="D11" s="22" t="s">
        <v>106</v>
      </c>
      <c r="E11" s="22">
        <v>0.01</v>
      </c>
    </row>
    <row r="12" spans="1:5" ht="15">
      <c r="A12" s="85" t="s">
        <v>8</v>
      </c>
      <c r="B12" s="21">
        <v>0.1</v>
      </c>
      <c r="C12" s="22" t="s">
        <v>106</v>
      </c>
      <c r="D12" s="22">
        <v>0.1</v>
      </c>
      <c r="E12" s="22" t="s">
        <v>106</v>
      </c>
    </row>
    <row r="13" spans="1:5" ht="16.5">
      <c r="A13" s="85" t="s">
        <v>111</v>
      </c>
      <c r="B13" s="33">
        <f>B10/(B42*(4+2*11/14+1*1/14)/10)</f>
        <v>1.3466837097708284</v>
      </c>
      <c r="C13" s="34" t="s">
        <v>106</v>
      </c>
      <c r="D13" s="33">
        <f>D10/(D42*(4+2*2/14+1*1/14)/10)</f>
        <v>1.7763934426229511</v>
      </c>
      <c r="E13" s="34" t="s">
        <v>106</v>
      </c>
    </row>
    <row r="14" spans="1:5" ht="16.5">
      <c r="A14" s="85" t="s">
        <v>112</v>
      </c>
      <c r="B14" s="34" t="s">
        <v>138</v>
      </c>
      <c r="C14" s="34" t="s">
        <v>138</v>
      </c>
      <c r="D14" s="34" t="s">
        <v>138</v>
      </c>
      <c r="E14" s="34" t="s">
        <v>138</v>
      </c>
    </row>
    <row r="15" spans="1:5" ht="15">
      <c r="A15" s="85" t="s">
        <v>97</v>
      </c>
      <c r="B15" s="33">
        <v>3</v>
      </c>
      <c r="C15" s="34">
        <v>3</v>
      </c>
      <c r="D15" s="34">
        <v>3</v>
      </c>
      <c r="E15" s="34">
        <v>3</v>
      </c>
    </row>
    <row r="16" spans="1:5" ht="15">
      <c r="A16" s="85" t="s">
        <v>9</v>
      </c>
      <c r="B16" s="33">
        <v>3</v>
      </c>
      <c r="C16" s="34">
        <v>3</v>
      </c>
      <c r="D16" s="34">
        <v>3</v>
      </c>
      <c r="E16" s="34">
        <v>3</v>
      </c>
    </row>
    <row r="17" spans="1:5">
      <c r="A17" s="19" t="s">
        <v>10</v>
      </c>
      <c r="B17" s="32"/>
      <c r="C17" s="32"/>
      <c r="D17" s="32"/>
      <c r="E17" s="32"/>
    </row>
    <row r="18" spans="1:5" ht="30">
      <c r="A18" s="85" t="s">
        <v>133</v>
      </c>
      <c r="B18" s="33">
        <v>32</v>
      </c>
      <c r="C18" s="34">
        <v>32</v>
      </c>
      <c r="D18" s="34">
        <v>2</v>
      </c>
      <c r="E18" s="34">
        <v>2</v>
      </c>
    </row>
    <row r="19" spans="1:5" ht="15">
      <c r="A19" s="85" t="s">
        <v>139</v>
      </c>
      <c r="B19" s="33">
        <v>2</v>
      </c>
      <c r="C19" s="34">
        <v>2</v>
      </c>
      <c r="D19" s="34">
        <v>2</v>
      </c>
      <c r="E19" s="34">
        <v>2</v>
      </c>
    </row>
    <row r="20" spans="1:5" ht="15">
      <c r="A20" s="85" t="s">
        <v>11</v>
      </c>
      <c r="B20" s="33">
        <v>9</v>
      </c>
      <c r="C20" s="34">
        <v>9</v>
      </c>
      <c r="D20" s="34">
        <v>20</v>
      </c>
      <c r="E20" s="34">
        <v>20</v>
      </c>
    </row>
    <row r="21" spans="1:5" ht="30">
      <c r="A21" s="23" t="s">
        <v>96</v>
      </c>
      <c r="B21" s="36">
        <f t="shared" ref="B21:E21" si="0">B20+10*LOG10(B18)</f>
        <v>24.051499783199063</v>
      </c>
      <c r="C21" s="36">
        <f t="shared" si="0"/>
        <v>24.051499783199063</v>
      </c>
      <c r="D21" s="36">
        <f t="shared" si="0"/>
        <v>23.010299956639813</v>
      </c>
      <c r="E21" s="36">
        <f t="shared" si="0"/>
        <v>23.010299956639813</v>
      </c>
    </row>
    <row r="22" spans="1:5" ht="15">
      <c r="A22" s="85" t="s">
        <v>12</v>
      </c>
      <c r="B22" s="33">
        <v>5</v>
      </c>
      <c r="C22" s="34">
        <v>5</v>
      </c>
      <c r="D22" s="34">
        <v>0</v>
      </c>
      <c r="E22" s="34">
        <v>0</v>
      </c>
    </row>
    <row r="23" spans="1:5" ht="45">
      <c r="A23" s="86" t="s">
        <v>13</v>
      </c>
      <c r="B23" s="36">
        <f>IF(B18&gt;=2, 10*LOG10(B18/2), 0)</f>
        <v>12.041199826559248</v>
      </c>
      <c r="C23" s="36">
        <f t="shared" ref="C23:E23" si="1">IF(C18&gt;=2, 10*LOG10(C18/2), 0)</f>
        <v>12.041199826559248</v>
      </c>
      <c r="D23" s="36">
        <f t="shared" si="1"/>
        <v>0</v>
      </c>
      <c r="E23" s="36">
        <f t="shared" si="1"/>
        <v>0</v>
      </c>
    </row>
    <row r="24" spans="1:5" ht="15">
      <c r="A24" s="85" t="s">
        <v>14</v>
      </c>
      <c r="B24" s="33">
        <v>0</v>
      </c>
      <c r="C24" s="33">
        <v>0</v>
      </c>
      <c r="D24" s="34">
        <v>0</v>
      </c>
      <c r="E24" s="34">
        <v>0</v>
      </c>
    </row>
    <row r="25" spans="1:5" ht="15">
      <c r="A25" s="85" t="s">
        <v>15</v>
      </c>
      <c r="B25" s="33">
        <v>0</v>
      </c>
      <c r="C25" s="33">
        <v>0</v>
      </c>
      <c r="D25" s="34">
        <v>0</v>
      </c>
      <c r="E25" s="34">
        <v>0</v>
      </c>
    </row>
    <row r="26" spans="1:5" ht="30">
      <c r="A26" s="85" t="s">
        <v>16</v>
      </c>
      <c r="B26" s="33">
        <v>3</v>
      </c>
      <c r="C26" s="33">
        <v>3</v>
      </c>
      <c r="D26" s="33">
        <v>1</v>
      </c>
      <c r="E26" s="33">
        <v>1</v>
      </c>
    </row>
    <row r="27" spans="1:5" ht="15">
      <c r="A27" s="87" t="s">
        <v>17</v>
      </c>
      <c r="B27" s="37">
        <f t="shared" ref="B27:E27" si="2">B21+B22+B23+B24-B26</f>
        <v>38.092699609758313</v>
      </c>
      <c r="C27" s="37">
        <f t="shared" si="2"/>
        <v>38.092699609758313</v>
      </c>
      <c r="D27" s="37">
        <f>D21+D22+D23+D24-D26</f>
        <v>22.010299956639813</v>
      </c>
      <c r="E27" s="37">
        <f t="shared" si="2"/>
        <v>22.010299956639813</v>
      </c>
    </row>
    <row r="28" spans="1:5" ht="15">
      <c r="A28" s="87" t="s">
        <v>18</v>
      </c>
      <c r="B28" s="37">
        <f t="shared" ref="B28:E28" si="3">B21+B22+B23-B25-B26</f>
        <v>38.092699609758313</v>
      </c>
      <c r="C28" s="37">
        <f t="shared" si="3"/>
        <v>38.092699609758313</v>
      </c>
      <c r="D28" s="37">
        <f t="shared" si="3"/>
        <v>22.010299956639813</v>
      </c>
      <c r="E28" s="37">
        <f t="shared" si="3"/>
        <v>22.010299956639813</v>
      </c>
    </row>
    <row r="29" spans="1:5">
      <c r="A29" s="19" t="s">
        <v>19</v>
      </c>
      <c r="B29" s="32"/>
      <c r="C29" s="32"/>
      <c r="D29" s="32"/>
      <c r="E29" s="32"/>
    </row>
    <row r="30" spans="1:5" ht="30">
      <c r="A30" s="85" t="s">
        <v>135</v>
      </c>
      <c r="B30" s="33">
        <v>4</v>
      </c>
      <c r="C30" s="33">
        <v>4</v>
      </c>
      <c r="D30" s="34">
        <v>32</v>
      </c>
      <c r="E30" s="34">
        <v>32</v>
      </c>
    </row>
    <row r="31" spans="1:5" ht="15">
      <c r="A31" s="85" t="s">
        <v>201</v>
      </c>
      <c r="B31" s="33">
        <v>2</v>
      </c>
      <c r="C31" s="33">
        <v>2</v>
      </c>
      <c r="D31" s="34">
        <v>2</v>
      </c>
      <c r="E31" s="34">
        <v>2</v>
      </c>
    </row>
    <row r="32" spans="1:5" ht="15">
      <c r="A32" s="85" t="s">
        <v>20</v>
      </c>
      <c r="B32" s="33">
        <v>0</v>
      </c>
      <c r="C32" s="33">
        <v>0</v>
      </c>
      <c r="D32" s="34">
        <v>5</v>
      </c>
      <c r="E32" s="34">
        <v>5</v>
      </c>
    </row>
    <row r="33" spans="1:6" ht="28.5">
      <c r="A33" s="88" t="s">
        <v>98</v>
      </c>
      <c r="B33" s="38">
        <f t="shared" ref="B33:E33" si="4">IF(B30&gt;=2, 10*LOG10(B30/2), 0)</f>
        <v>3.0102999566398121</v>
      </c>
      <c r="C33" s="38">
        <f t="shared" si="4"/>
        <v>3.0102999566398121</v>
      </c>
      <c r="D33" s="38">
        <f t="shared" si="4"/>
        <v>12.041199826559248</v>
      </c>
      <c r="E33" s="38">
        <f t="shared" si="4"/>
        <v>12.041199826559248</v>
      </c>
    </row>
    <row r="34" spans="1:6" ht="30">
      <c r="A34" s="85" t="s">
        <v>21</v>
      </c>
      <c r="B34" s="33">
        <v>1</v>
      </c>
      <c r="C34" s="33">
        <v>1</v>
      </c>
      <c r="D34" s="33">
        <v>3</v>
      </c>
      <c r="E34" s="33">
        <v>3</v>
      </c>
    </row>
    <row r="35" spans="1:6" ht="15">
      <c r="A35" s="85" t="s">
        <v>22</v>
      </c>
      <c r="B35" s="34">
        <v>7</v>
      </c>
      <c r="C35" s="34">
        <v>7</v>
      </c>
      <c r="D35" s="34">
        <v>5</v>
      </c>
      <c r="E35" s="34">
        <v>5</v>
      </c>
    </row>
    <row r="36" spans="1:6" ht="15">
      <c r="A36" s="85" t="s">
        <v>23</v>
      </c>
      <c r="B36" s="34">
        <v>-174</v>
      </c>
      <c r="C36" s="34">
        <v>-174</v>
      </c>
      <c r="D36" s="34">
        <v>-174</v>
      </c>
      <c r="E36" s="34">
        <v>-174</v>
      </c>
    </row>
    <row r="37" spans="1:6" ht="30">
      <c r="A37" s="85" t="s">
        <v>24</v>
      </c>
      <c r="B37" s="33" t="s">
        <v>106</v>
      </c>
      <c r="C37" s="34">
        <v>-174</v>
      </c>
      <c r="D37" s="34" t="s">
        <v>106</v>
      </c>
      <c r="E37" s="34">
        <v>-174.9</v>
      </c>
    </row>
    <row r="38" spans="1:6" ht="15">
      <c r="A38" s="85" t="s">
        <v>25</v>
      </c>
      <c r="B38" s="33">
        <v>-174</v>
      </c>
      <c r="C38" s="34" t="s">
        <v>106</v>
      </c>
      <c r="D38" s="34">
        <v>-174.9</v>
      </c>
      <c r="E38" s="34" t="s">
        <v>106</v>
      </c>
    </row>
    <row r="39" spans="1:6" ht="48.75" customHeight="1">
      <c r="A39" s="89" t="s">
        <v>45</v>
      </c>
      <c r="B39" s="37" t="s">
        <v>209</v>
      </c>
      <c r="C39" s="37">
        <f t="shared" ref="C39:E39" si="5">10*LOG10(10^((C35+C36)/10)+10^(C37/10))</f>
        <v>-166.20990250347435</v>
      </c>
      <c r="D39" s="37" t="s">
        <v>209</v>
      </c>
      <c r="E39" s="37">
        <f t="shared" si="5"/>
        <v>-168.00651048203736</v>
      </c>
    </row>
    <row r="40" spans="1:6" ht="42.75" customHeight="1">
      <c r="A40" s="89" t="s">
        <v>46</v>
      </c>
      <c r="B40" s="37">
        <f t="shared" ref="B40:D40" si="6">10*LOG10(10^((B35+B36)/10)+10^(B38/10))</f>
        <v>-166.20990250347435</v>
      </c>
      <c r="C40" s="37" t="s">
        <v>209</v>
      </c>
      <c r="D40" s="37">
        <f t="shared" si="6"/>
        <v>-168.00651048203736</v>
      </c>
      <c r="E40" s="37" t="s">
        <v>209</v>
      </c>
    </row>
    <row r="41" spans="1:6" ht="33" customHeight="1">
      <c r="A41" s="85" t="s">
        <v>26</v>
      </c>
      <c r="B41" s="33" t="s">
        <v>106</v>
      </c>
      <c r="C41" s="33">
        <f>MaxN_RB!F6*12*15*1000</f>
        <v>19080000</v>
      </c>
      <c r="D41" s="34" t="s">
        <v>106</v>
      </c>
      <c r="E41" s="34">
        <f>1*12*30*1000</f>
        <v>360000</v>
      </c>
    </row>
    <row r="42" spans="1:6" ht="33.75" customHeight="1">
      <c r="A42" s="85" t="s">
        <v>27</v>
      </c>
      <c r="B42" s="33">
        <f>MaxN_RB!F7*12*30*1000</f>
        <v>18360000</v>
      </c>
      <c r="C42" s="34" t="s">
        <v>106</v>
      </c>
      <c r="D42" s="33">
        <f>4*12*30*1000</f>
        <v>1440000</v>
      </c>
      <c r="E42" s="34" t="s">
        <v>106</v>
      </c>
    </row>
    <row r="43" spans="1:6" ht="18.75" customHeight="1">
      <c r="A43" s="87" t="s">
        <v>28</v>
      </c>
      <c r="B43" s="37" t="s">
        <v>209</v>
      </c>
      <c r="C43" s="37">
        <f t="shared" ref="B43:E44" si="7">C39+10*LOG10(C41)</f>
        <v>-93.404118799793594</v>
      </c>
      <c r="D43" s="37" t="s">
        <v>209</v>
      </c>
      <c r="E43" s="37">
        <f t="shared" si="7"/>
        <v>-112.44348547436448</v>
      </c>
    </row>
    <row r="44" spans="1:6" ht="15">
      <c r="A44" s="87" t="s">
        <v>29</v>
      </c>
      <c r="B44" s="37">
        <f t="shared" si="7"/>
        <v>-93.57117573482212</v>
      </c>
      <c r="C44" s="37" t="s">
        <v>209</v>
      </c>
      <c r="D44" s="37">
        <f t="shared" si="7"/>
        <v>-106.42288556108485</v>
      </c>
      <c r="E44" s="37" t="s">
        <v>209</v>
      </c>
    </row>
    <row r="45" spans="1:6" ht="15">
      <c r="A45" s="85" t="s">
        <v>30</v>
      </c>
      <c r="B45" s="33" t="s">
        <v>106</v>
      </c>
      <c r="C45" s="70">
        <v>-4.8</v>
      </c>
      <c r="D45" s="33" t="s">
        <v>106</v>
      </c>
      <c r="E45" s="70">
        <v>-8</v>
      </c>
      <c r="F45" s="78"/>
    </row>
    <row r="46" spans="1:6" ht="15">
      <c r="A46" s="85" t="s">
        <v>31</v>
      </c>
      <c r="B46" s="70">
        <v>6.3</v>
      </c>
      <c r="C46" s="33" t="s">
        <v>106</v>
      </c>
      <c r="D46" s="70">
        <v>14.13</v>
      </c>
      <c r="E46" s="33" t="s">
        <v>106</v>
      </c>
      <c r="F46" s="78"/>
    </row>
    <row r="47" spans="1:6" ht="15">
      <c r="A47" s="85" t="s">
        <v>32</v>
      </c>
      <c r="B47" s="33">
        <v>2</v>
      </c>
      <c r="C47" s="34">
        <v>2</v>
      </c>
      <c r="D47" s="34">
        <v>2</v>
      </c>
      <c r="E47" s="34">
        <v>2</v>
      </c>
    </row>
    <row r="48" spans="1:6" ht="15">
      <c r="A48" s="85" t="s">
        <v>33</v>
      </c>
      <c r="B48" s="33" t="s">
        <v>106</v>
      </c>
      <c r="C48" s="34">
        <v>0</v>
      </c>
      <c r="D48" s="34" t="s">
        <v>106</v>
      </c>
      <c r="E48" s="34">
        <v>0</v>
      </c>
    </row>
    <row r="49" spans="1:5" ht="15">
      <c r="A49" s="85" t="s">
        <v>34</v>
      </c>
      <c r="B49" s="33">
        <v>0.5</v>
      </c>
      <c r="C49" s="34" t="s">
        <v>106</v>
      </c>
      <c r="D49" s="34">
        <v>0.5</v>
      </c>
      <c r="E49" s="34" t="s">
        <v>106</v>
      </c>
    </row>
    <row r="50" spans="1:5" ht="15">
      <c r="A50" s="89" t="s">
        <v>47</v>
      </c>
      <c r="B50" s="37" t="s">
        <v>209</v>
      </c>
      <c r="C50" s="37">
        <f t="shared" ref="C50:E50" si="8">C43+C45+C47-C48</f>
        <v>-96.204118799793591</v>
      </c>
      <c r="D50" s="37" t="s">
        <v>209</v>
      </c>
      <c r="E50" s="37">
        <f t="shared" si="8"/>
        <v>-118.44348547436448</v>
      </c>
    </row>
    <row r="51" spans="1:5" ht="15">
      <c r="A51" s="89" t="s">
        <v>48</v>
      </c>
      <c r="B51" s="37">
        <f t="shared" ref="B51:D51" si="9">B44+B46+B47-B49</f>
        <v>-85.771175734822123</v>
      </c>
      <c r="C51" s="37" t="s">
        <v>209</v>
      </c>
      <c r="D51" s="37">
        <f t="shared" si="9"/>
        <v>-90.792885561084859</v>
      </c>
      <c r="E51" s="37" t="s">
        <v>209</v>
      </c>
    </row>
    <row r="52" spans="1:5" ht="15">
      <c r="A52" s="89" t="s">
        <v>117</v>
      </c>
      <c r="B52" s="37" t="s">
        <v>209</v>
      </c>
      <c r="C52" s="37">
        <f t="shared" ref="C52:E52" si="10">C27+C32+C33-C50</f>
        <v>137.30711836619173</v>
      </c>
      <c r="D52" s="37" t="s">
        <v>209</v>
      </c>
      <c r="E52" s="37">
        <f t="shared" si="10"/>
        <v>157.49498525756354</v>
      </c>
    </row>
    <row r="53" spans="1:5" ht="15">
      <c r="A53" s="89" t="s">
        <v>118</v>
      </c>
      <c r="B53" s="37">
        <f t="shared" ref="B53:D53" si="11">B28+B32+B33-B51</f>
        <v>126.87417530122025</v>
      </c>
      <c r="C53" s="37" t="s">
        <v>209</v>
      </c>
      <c r="D53" s="37">
        <f t="shared" si="11"/>
        <v>129.84438534428392</v>
      </c>
      <c r="E53" s="37" t="s">
        <v>209</v>
      </c>
    </row>
    <row r="54" spans="1:5">
      <c r="A54" s="19" t="s">
        <v>35</v>
      </c>
      <c r="B54" s="32"/>
      <c r="C54" s="32"/>
      <c r="D54" s="32"/>
      <c r="E54" s="32"/>
    </row>
    <row r="55" spans="1:5" ht="15">
      <c r="A55" s="85" t="s">
        <v>36</v>
      </c>
      <c r="B55" s="34">
        <v>4</v>
      </c>
      <c r="C55" s="34">
        <v>4</v>
      </c>
      <c r="D55" s="34">
        <v>4</v>
      </c>
      <c r="E55" s="34">
        <v>4</v>
      </c>
    </row>
    <row r="56" spans="1:5" ht="18">
      <c r="A56" s="90" t="s">
        <v>119</v>
      </c>
      <c r="B56" s="34"/>
      <c r="C56" s="34"/>
      <c r="D56" s="34"/>
      <c r="E56" s="34"/>
    </row>
    <row r="57" spans="1:5" ht="30">
      <c r="A57" s="85" t="s">
        <v>37</v>
      </c>
      <c r="B57" s="34" t="s">
        <v>106</v>
      </c>
      <c r="C57" s="34">
        <v>8.5</v>
      </c>
      <c r="D57" s="34" t="s">
        <v>106</v>
      </c>
      <c r="E57" s="34">
        <v>8.5</v>
      </c>
    </row>
    <row r="58" spans="1:5" ht="30">
      <c r="A58" s="85" t="s">
        <v>38</v>
      </c>
      <c r="B58" s="34">
        <v>5.2</v>
      </c>
      <c r="C58" s="34" t="s">
        <v>106</v>
      </c>
      <c r="D58" s="34">
        <v>5.2</v>
      </c>
      <c r="E58" s="34" t="s">
        <v>106</v>
      </c>
    </row>
    <row r="59" spans="1:5" ht="15">
      <c r="A59" s="85" t="s">
        <v>39</v>
      </c>
      <c r="B59" s="34"/>
      <c r="C59" s="34"/>
      <c r="D59" s="34"/>
      <c r="E59" s="34"/>
    </row>
    <row r="60" spans="1:5" ht="15">
      <c r="A60" s="85" t="s">
        <v>40</v>
      </c>
      <c r="B60" s="34">
        <v>0</v>
      </c>
      <c r="C60" s="34">
        <v>0</v>
      </c>
      <c r="D60" s="34">
        <v>0</v>
      </c>
      <c r="E60" s="34">
        <v>0</v>
      </c>
    </row>
    <row r="61" spans="1:5" ht="15">
      <c r="A61" s="85" t="s">
        <v>41</v>
      </c>
      <c r="B61" s="34"/>
      <c r="C61" s="34"/>
      <c r="D61" s="34"/>
      <c r="E61" s="34"/>
    </row>
    <row r="62" spans="1:5" ht="15">
      <c r="A62" s="89" t="s">
        <v>54</v>
      </c>
      <c r="B62" s="37" t="s">
        <v>209</v>
      </c>
      <c r="C62" s="37">
        <f t="shared" ref="C62:E62" si="12">C52-C57+C59-C60+C61-C34</f>
        <v>127.80711836619173</v>
      </c>
      <c r="D62" s="37" t="s">
        <v>209</v>
      </c>
      <c r="E62" s="37">
        <f t="shared" si="12"/>
        <v>145.99498525756354</v>
      </c>
    </row>
    <row r="63" spans="1:5" ht="15">
      <c r="A63" s="89" t="s">
        <v>49</v>
      </c>
      <c r="B63" s="37">
        <f t="shared" ref="B63:D63" si="13">B53-B58+B59-B60+B61-B34</f>
        <v>120.67417530122025</v>
      </c>
      <c r="C63" s="37" t="s">
        <v>209</v>
      </c>
      <c r="D63" s="37">
        <f t="shared" si="13"/>
        <v>121.64438534428392</v>
      </c>
      <c r="E63" s="37" t="s">
        <v>209</v>
      </c>
    </row>
    <row r="64" spans="1:5">
      <c r="A64" s="19" t="s">
        <v>42</v>
      </c>
      <c r="B64" s="32"/>
      <c r="C64" s="32"/>
      <c r="D64" s="32"/>
      <c r="E64" s="32"/>
    </row>
    <row r="65" spans="1:5" ht="30">
      <c r="A65" s="91" t="s">
        <v>43</v>
      </c>
      <c r="B65" s="34" t="s">
        <v>105</v>
      </c>
      <c r="C65" s="34">
        <f>10^((C62-17.3-24.9*LOG10(C$4))/38.3)</f>
        <v>311.80692715884993</v>
      </c>
      <c r="D65" s="34" t="s">
        <v>105</v>
      </c>
      <c r="E65" s="34">
        <f>10^((E62-17.3-24.9*LOG10(E$4))/38.3)</f>
        <v>930.60373324047498</v>
      </c>
    </row>
    <row r="66" spans="1:5" ht="30">
      <c r="A66" s="91" t="s">
        <v>44</v>
      </c>
      <c r="B66" s="34">
        <f>10^((B63-17.3-24.9*LOG10(B$4))/38.3)</f>
        <v>203.07059298612089</v>
      </c>
      <c r="C66" s="34" t="s">
        <v>105</v>
      </c>
      <c r="D66" s="34">
        <f>10^((D63-17.3-24.9*LOG10(D$4))/38.3)</f>
        <v>215.2677105251534</v>
      </c>
      <c r="E66" s="34" t="s">
        <v>105</v>
      </c>
    </row>
    <row r="67" spans="1:5" ht="18">
      <c r="A67" s="91" t="s">
        <v>120</v>
      </c>
      <c r="B67" s="34" t="s">
        <v>106</v>
      </c>
      <c r="C67" s="34">
        <f>PI()*(C65)^2</f>
        <v>305436.82129969384</v>
      </c>
      <c r="D67" s="34" t="s">
        <v>106</v>
      </c>
      <c r="E67" s="34">
        <f>PI()*(E65)^2</f>
        <v>2720692.4632591247</v>
      </c>
    </row>
    <row r="68" spans="1:5" ht="18">
      <c r="A68" s="91" t="s">
        <v>121</v>
      </c>
      <c r="B68" s="34">
        <f>PI()*(B66)^2</f>
        <v>129551.94772657589</v>
      </c>
      <c r="C68" s="34" t="s">
        <v>106</v>
      </c>
      <c r="D68" s="34">
        <f>PI()*(D66)^2</f>
        <v>145581.99165697489</v>
      </c>
      <c r="E68" s="34" t="s">
        <v>106</v>
      </c>
    </row>
  </sheetData>
  <mergeCells count="2">
    <mergeCell ref="B1:C1"/>
    <mergeCell ref="D1:E1"/>
  </mergeCells>
  <phoneticPr fontId="1" type="noConversion"/>
  <dataValidations count="1">
    <dataValidation type="list" allowBlank="1" showInputMessage="1" showErrorMessage="1" sqref="D34:E34 B26:C26">
      <formula1>"0,3"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85" zoomScaleNormal="85" workbookViewId="0">
      <pane xSplit="1" ySplit="2" topLeftCell="B33" activePane="bottomRight" state="frozen"/>
      <selection pane="topRight" activeCell="B1" sqref="B1"/>
      <selection pane="bottomLeft" activeCell="A3" sqref="A3"/>
      <selection pane="bottomRight" activeCell="F42" sqref="F42"/>
    </sheetView>
  </sheetViews>
  <sheetFormatPr defaultRowHeight="14.25"/>
  <cols>
    <col min="1" max="1" width="62.125" style="30" bestFit="1" customWidth="1"/>
    <col min="2" max="2" width="15.375" style="39" bestFit="1" customWidth="1"/>
    <col min="3" max="3" width="12.25" style="39" bestFit="1" customWidth="1"/>
    <col min="4" max="5" width="11.875" style="39" customWidth="1"/>
    <col min="6" max="6" width="11" style="40" bestFit="1" customWidth="1"/>
    <col min="7" max="7" width="15.25" style="40" customWidth="1"/>
    <col min="8" max="8" width="15.125" style="40" customWidth="1"/>
    <col min="9" max="9" width="15.75" style="40" customWidth="1"/>
    <col min="11" max="11" width="20.25" bestFit="1" customWidth="1"/>
  </cols>
  <sheetData>
    <row r="1" spans="1:9">
      <c r="A1" s="17" t="s">
        <v>0</v>
      </c>
      <c r="B1" s="96" t="s">
        <v>136</v>
      </c>
      <c r="C1" s="96"/>
      <c r="D1" s="96"/>
      <c r="E1" s="97"/>
      <c r="F1" s="99" t="s">
        <v>137</v>
      </c>
      <c r="G1" s="99"/>
      <c r="H1" s="99"/>
      <c r="I1" s="99"/>
    </row>
    <row r="2" spans="1:9" ht="42.75">
      <c r="A2" s="17"/>
      <c r="B2" s="31" t="s">
        <v>51</v>
      </c>
      <c r="C2" s="31" t="s">
        <v>57</v>
      </c>
      <c r="D2" s="31" t="s">
        <v>55</v>
      </c>
      <c r="E2" s="31" t="s">
        <v>56</v>
      </c>
      <c r="F2" s="31" t="s">
        <v>58</v>
      </c>
      <c r="G2" s="31" t="s">
        <v>59</v>
      </c>
      <c r="H2" s="31" t="s">
        <v>60</v>
      </c>
      <c r="I2" s="31" t="s">
        <v>61</v>
      </c>
    </row>
    <row r="3" spans="1:9" ht="15" customHeight="1">
      <c r="A3" s="19" t="s">
        <v>1</v>
      </c>
      <c r="B3" s="32"/>
      <c r="C3" s="32"/>
      <c r="D3" s="32"/>
      <c r="E3" s="32"/>
      <c r="F3" s="32"/>
      <c r="G3" s="32"/>
      <c r="H3" s="32"/>
      <c r="I3" s="32"/>
    </row>
    <row r="4" spans="1:9" ht="15">
      <c r="A4" s="20" t="s">
        <v>2</v>
      </c>
      <c r="B4" s="34">
        <v>4</v>
      </c>
      <c r="C4" s="34">
        <v>4</v>
      </c>
      <c r="D4" s="34">
        <v>4</v>
      </c>
      <c r="E4" s="34">
        <v>4</v>
      </c>
      <c r="F4" s="34">
        <v>4</v>
      </c>
      <c r="G4" s="34">
        <v>4</v>
      </c>
      <c r="H4" s="34">
        <v>4</v>
      </c>
      <c r="I4" s="34">
        <v>4</v>
      </c>
    </row>
    <row r="5" spans="1:9" ht="15">
      <c r="A5" s="20" t="s">
        <v>3</v>
      </c>
      <c r="B5" s="34">
        <v>25</v>
      </c>
      <c r="C5" s="34">
        <v>25</v>
      </c>
      <c r="D5" s="34">
        <v>25</v>
      </c>
      <c r="E5" s="34">
        <v>25</v>
      </c>
      <c r="F5" s="34">
        <v>25</v>
      </c>
      <c r="G5" s="34">
        <v>25</v>
      </c>
      <c r="H5" s="34">
        <v>25</v>
      </c>
      <c r="I5" s="34">
        <v>25</v>
      </c>
    </row>
    <row r="6" spans="1:9" ht="15">
      <c r="A6" s="20" t="s">
        <v>4</v>
      </c>
      <c r="B6" s="34">
        <v>1.5</v>
      </c>
      <c r="C6" s="34">
        <v>1.5</v>
      </c>
      <c r="D6" s="34">
        <v>1.5</v>
      </c>
      <c r="E6" s="34">
        <v>1.5</v>
      </c>
      <c r="F6" s="34">
        <v>1.5</v>
      </c>
      <c r="G6" s="34">
        <v>1.5</v>
      </c>
      <c r="H6" s="34">
        <v>1.5</v>
      </c>
      <c r="I6" s="34">
        <v>1.5</v>
      </c>
    </row>
    <row r="7" spans="1:9" ht="31.5">
      <c r="A7" s="20" t="s">
        <v>109</v>
      </c>
      <c r="B7" s="21" t="s">
        <v>161</v>
      </c>
      <c r="C7" s="22">
        <v>0.95</v>
      </c>
      <c r="D7" s="21" t="s">
        <v>161</v>
      </c>
      <c r="E7" s="22">
        <v>0.95</v>
      </c>
      <c r="F7" s="22" t="s">
        <v>161</v>
      </c>
      <c r="G7" s="22">
        <v>0.95</v>
      </c>
      <c r="H7" s="22" t="s">
        <v>161</v>
      </c>
      <c r="I7" s="22">
        <v>0.95</v>
      </c>
    </row>
    <row r="8" spans="1:9" ht="31.5">
      <c r="A8" s="20" t="s">
        <v>110</v>
      </c>
      <c r="B8" s="21">
        <v>0.9</v>
      </c>
      <c r="C8" s="22" t="s">
        <v>161</v>
      </c>
      <c r="D8" s="21">
        <v>0.9</v>
      </c>
      <c r="E8" s="22" t="s">
        <v>161</v>
      </c>
      <c r="F8" s="22">
        <v>0.9</v>
      </c>
      <c r="G8" s="22" t="s">
        <v>161</v>
      </c>
      <c r="H8" s="22">
        <v>0.9</v>
      </c>
      <c r="I8" s="22" t="s">
        <v>161</v>
      </c>
    </row>
    <row r="9" spans="1:9" ht="15">
      <c r="A9" s="20" t="s">
        <v>5</v>
      </c>
      <c r="B9" s="33" t="s">
        <v>161</v>
      </c>
      <c r="C9" s="34">
        <f>64/(0.5*0.001)</f>
        <v>128000</v>
      </c>
      <c r="D9" s="33" t="s">
        <v>161</v>
      </c>
      <c r="E9" s="34">
        <f>64/(0.5*0.001)</f>
        <v>128000</v>
      </c>
      <c r="F9" s="34" t="s">
        <v>161</v>
      </c>
      <c r="G9" s="34">
        <f>2/(0.5*0.001)</f>
        <v>4000</v>
      </c>
      <c r="H9" s="34"/>
      <c r="I9" s="34">
        <f>2/(0.5*0.001)</f>
        <v>4000</v>
      </c>
    </row>
    <row r="10" spans="1:9" ht="15">
      <c r="A10" s="20" t="s">
        <v>6</v>
      </c>
      <c r="B10" s="33">
        <f>2248233*3</f>
        <v>6744699</v>
      </c>
      <c r="C10" s="34" t="s">
        <v>161</v>
      </c>
      <c r="D10" s="33">
        <f>2248233*3</f>
        <v>6744699</v>
      </c>
      <c r="E10" s="34" t="s">
        <v>161</v>
      </c>
      <c r="F10" s="34">
        <f>74880*3</f>
        <v>224640</v>
      </c>
      <c r="G10" s="34" t="s">
        <v>161</v>
      </c>
      <c r="H10" s="34">
        <f>74880*3</f>
        <v>224640</v>
      </c>
      <c r="I10" s="34" t="s">
        <v>161</v>
      </c>
    </row>
    <row r="11" spans="1:9" ht="15">
      <c r="A11" s="20" t="s">
        <v>7</v>
      </c>
      <c r="B11" s="21" t="s">
        <v>161</v>
      </c>
      <c r="C11" s="22">
        <v>0.01</v>
      </c>
      <c r="D11" s="21" t="s">
        <v>161</v>
      </c>
      <c r="E11" s="22">
        <v>0.01</v>
      </c>
      <c r="F11" s="22" t="s">
        <v>161</v>
      </c>
      <c r="G11" s="22">
        <v>0.01</v>
      </c>
      <c r="H11" s="22" t="s">
        <v>161</v>
      </c>
      <c r="I11" s="22">
        <v>0.01</v>
      </c>
    </row>
    <row r="12" spans="1:9" ht="15">
      <c r="A12" s="20" t="s">
        <v>8</v>
      </c>
      <c r="B12" s="21">
        <v>0.1</v>
      </c>
      <c r="C12" s="22" t="s">
        <v>161</v>
      </c>
      <c r="D12" s="21">
        <v>0.1</v>
      </c>
      <c r="E12" s="22" t="s">
        <v>161</v>
      </c>
      <c r="F12" s="22">
        <v>0.1</v>
      </c>
      <c r="G12" s="22" t="s">
        <v>161</v>
      </c>
      <c r="H12" s="22">
        <v>0.1</v>
      </c>
      <c r="I12" s="22" t="s">
        <v>161</v>
      </c>
    </row>
    <row r="13" spans="1:9" ht="16.5">
      <c r="A13" s="20" t="s">
        <v>111</v>
      </c>
      <c r="B13" s="33">
        <f>B10/(B42*(3+11/14)/5)</f>
        <v>0.48519025157232709</v>
      </c>
      <c r="C13" s="33" t="s">
        <v>161</v>
      </c>
      <c r="D13" s="33">
        <f>D10/(D42*(3+11/14)/5)</f>
        <v>0.48519025157232709</v>
      </c>
      <c r="E13" s="33" t="s">
        <v>161</v>
      </c>
      <c r="F13" s="33">
        <f>F10/(F42*(1+3/14)/5)</f>
        <v>0.64235294117647068</v>
      </c>
      <c r="G13" s="34" t="s">
        <v>161</v>
      </c>
      <c r="H13" s="33">
        <f>H10/(H42*(1+3/14)/5)</f>
        <v>0.64235294117647068</v>
      </c>
      <c r="I13" s="34" t="s">
        <v>161</v>
      </c>
    </row>
    <row r="14" spans="1:9" ht="16.5">
      <c r="A14" s="20" t="s">
        <v>112</v>
      </c>
      <c r="B14" s="33" t="s">
        <v>162</v>
      </c>
      <c r="C14" s="33" t="s">
        <v>162</v>
      </c>
      <c r="D14" s="33" t="s">
        <v>163</v>
      </c>
      <c r="E14" s="33" t="s">
        <v>163</v>
      </c>
      <c r="F14" s="33" t="s">
        <v>162</v>
      </c>
      <c r="G14" s="33" t="s">
        <v>162</v>
      </c>
      <c r="H14" s="33" t="s">
        <v>163</v>
      </c>
      <c r="I14" s="33" t="s">
        <v>163</v>
      </c>
    </row>
    <row r="15" spans="1:9" ht="15">
      <c r="A15" s="20" t="s">
        <v>97</v>
      </c>
      <c r="B15" s="33">
        <v>30</v>
      </c>
      <c r="C15" s="34">
        <v>30</v>
      </c>
      <c r="D15" s="33">
        <v>3</v>
      </c>
      <c r="E15" s="34">
        <v>3</v>
      </c>
      <c r="F15" s="34">
        <v>30</v>
      </c>
      <c r="G15" s="34">
        <v>30</v>
      </c>
      <c r="H15" s="34">
        <v>3</v>
      </c>
      <c r="I15" s="34">
        <v>3</v>
      </c>
    </row>
    <row r="16" spans="1:9" ht="15">
      <c r="A16" s="20" t="s">
        <v>9</v>
      </c>
      <c r="B16" s="33">
        <v>3</v>
      </c>
      <c r="C16" s="34">
        <v>3</v>
      </c>
      <c r="D16" s="33">
        <v>3</v>
      </c>
      <c r="E16" s="34">
        <v>3</v>
      </c>
      <c r="F16" s="34">
        <v>3</v>
      </c>
      <c r="G16" s="34">
        <v>3</v>
      </c>
      <c r="H16" s="34">
        <v>3</v>
      </c>
      <c r="I16" s="34">
        <v>3</v>
      </c>
    </row>
    <row r="17" spans="1:9" ht="15" customHeight="1">
      <c r="A17" s="19" t="s">
        <v>10</v>
      </c>
      <c r="B17" s="32"/>
      <c r="C17" s="32"/>
      <c r="D17" s="32"/>
      <c r="E17" s="32"/>
      <c r="F17" s="32"/>
      <c r="G17" s="32"/>
      <c r="H17" s="32"/>
      <c r="I17" s="32"/>
    </row>
    <row r="18" spans="1:9" ht="30">
      <c r="A18" s="20" t="s">
        <v>95</v>
      </c>
      <c r="B18" s="33">
        <v>128</v>
      </c>
      <c r="C18" s="34">
        <v>128</v>
      </c>
      <c r="D18" s="33">
        <v>128</v>
      </c>
      <c r="E18" s="34">
        <v>128</v>
      </c>
      <c r="F18" s="34">
        <v>2</v>
      </c>
      <c r="G18" s="34">
        <v>2</v>
      </c>
      <c r="H18" s="34">
        <v>2</v>
      </c>
      <c r="I18" s="34">
        <v>2</v>
      </c>
    </row>
    <row r="19" spans="1:9" ht="15">
      <c r="A19" s="20" t="s">
        <v>199</v>
      </c>
      <c r="B19" s="33">
        <v>2</v>
      </c>
      <c r="C19" s="34">
        <v>2</v>
      </c>
      <c r="D19" s="33">
        <v>2</v>
      </c>
      <c r="E19" s="34">
        <v>2</v>
      </c>
      <c r="F19" s="34">
        <v>2</v>
      </c>
      <c r="G19" s="34">
        <v>2</v>
      </c>
      <c r="H19" s="34">
        <v>2</v>
      </c>
      <c r="I19" s="34">
        <v>2</v>
      </c>
    </row>
    <row r="20" spans="1:9" ht="15">
      <c r="A20" s="20" t="s">
        <v>11</v>
      </c>
      <c r="B20" s="33">
        <v>23</v>
      </c>
      <c r="C20" s="34">
        <v>23</v>
      </c>
      <c r="D20" s="33">
        <v>23</v>
      </c>
      <c r="E20" s="34">
        <v>23</v>
      </c>
      <c r="F20" s="34">
        <v>20</v>
      </c>
      <c r="G20" s="34">
        <v>20</v>
      </c>
      <c r="H20" s="34">
        <v>20</v>
      </c>
      <c r="I20" s="34">
        <v>20</v>
      </c>
    </row>
    <row r="21" spans="1:9" ht="30">
      <c r="A21" s="41" t="s">
        <v>96</v>
      </c>
      <c r="B21" s="38">
        <f t="shared" ref="B21:I21" si="0">B20+10*LOG10(B18)</f>
        <v>44.072099696478688</v>
      </c>
      <c r="C21" s="38">
        <f t="shared" si="0"/>
        <v>44.072099696478688</v>
      </c>
      <c r="D21" s="38">
        <f t="shared" si="0"/>
        <v>44.072099696478688</v>
      </c>
      <c r="E21" s="38">
        <f t="shared" si="0"/>
        <v>44.072099696478688</v>
      </c>
      <c r="F21" s="38">
        <f t="shared" si="0"/>
        <v>23.010299956639813</v>
      </c>
      <c r="G21" s="38">
        <f t="shared" si="0"/>
        <v>23.010299956639813</v>
      </c>
      <c r="H21" s="38">
        <f t="shared" si="0"/>
        <v>23.010299956639813</v>
      </c>
      <c r="I21" s="38">
        <f t="shared" si="0"/>
        <v>23.010299956639813</v>
      </c>
    </row>
    <row r="22" spans="1:9" ht="15">
      <c r="A22" s="20" t="s">
        <v>12</v>
      </c>
      <c r="B22" s="33">
        <v>8</v>
      </c>
      <c r="C22" s="34">
        <v>8</v>
      </c>
      <c r="D22" s="33">
        <v>8</v>
      </c>
      <c r="E22" s="34">
        <v>8</v>
      </c>
      <c r="F22" s="34">
        <v>0</v>
      </c>
      <c r="G22" s="34">
        <v>0</v>
      </c>
      <c r="H22" s="34">
        <v>0</v>
      </c>
      <c r="I22" s="34">
        <v>0</v>
      </c>
    </row>
    <row r="23" spans="1:9" ht="45">
      <c r="A23" s="42" t="s">
        <v>13</v>
      </c>
      <c r="B23" s="38">
        <f t="shared" ref="B23:I23" si="1">IF(B18&gt;=2, 10*LOG10(B18/2), 0)</f>
        <v>18.061799739838872</v>
      </c>
      <c r="C23" s="38">
        <f t="shared" si="1"/>
        <v>18.061799739838872</v>
      </c>
      <c r="D23" s="38">
        <f t="shared" si="1"/>
        <v>18.061799739838872</v>
      </c>
      <c r="E23" s="38">
        <f t="shared" si="1"/>
        <v>18.061799739838872</v>
      </c>
      <c r="F23" s="38">
        <f t="shared" si="1"/>
        <v>0</v>
      </c>
      <c r="G23" s="38">
        <f t="shared" si="1"/>
        <v>0</v>
      </c>
      <c r="H23" s="38">
        <f t="shared" si="1"/>
        <v>0</v>
      </c>
      <c r="I23" s="38">
        <f t="shared" si="1"/>
        <v>0</v>
      </c>
    </row>
    <row r="24" spans="1:9" ht="15">
      <c r="A24" s="20" t="s">
        <v>14</v>
      </c>
      <c r="B24" s="33">
        <v>0</v>
      </c>
      <c r="C24" s="34">
        <v>0</v>
      </c>
      <c r="D24" s="33">
        <v>0</v>
      </c>
      <c r="E24" s="34">
        <v>0</v>
      </c>
      <c r="F24" s="34">
        <v>0</v>
      </c>
      <c r="G24" s="34">
        <v>0</v>
      </c>
      <c r="H24" s="34">
        <v>0</v>
      </c>
      <c r="I24" s="34">
        <v>0</v>
      </c>
    </row>
    <row r="25" spans="1:9" ht="15.75" customHeight="1">
      <c r="A25" s="20" t="s">
        <v>15</v>
      </c>
      <c r="B25" s="33">
        <v>0</v>
      </c>
      <c r="C25" s="34">
        <v>0</v>
      </c>
      <c r="D25" s="33">
        <v>0</v>
      </c>
      <c r="E25" s="34">
        <v>0</v>
      </c>
      <c r="F25" s="34">
        <v>0</v>
      </c>
      <c r="G25" s="34">
        <v>0</v>
      </c>
      <c r="H25" s="34">
        <v>0</v>
      </c>
      <c r="I25" s="34">
        <v>0</v>
      </c>
    </row>
    <row r="26" spans="1:9" ht="30">
      <c r="A26" s="20" t="s">
        <v>16</v>
      </c>
      <c r="B26" s="33">
        <v>3</v>
      </c>
      <c r="C26" s="34">
        <v>3</v>
      </c>
      <c r="D26" s="33">
        <v>3</v>
      </c>
      <c r="E26" s="34">
        <v>3</v>
      </c>
      <c r="F26" s="34">
        <v>1</v>
      </c>
      <c r="G26" s="34">
        <v>1</v>
      </c>
      <c r="H26" s="34">
        <v>1</v>
      </c>
      <c r="I26" s="34">
        <v>1</v>
      </c>
    </row>
    <row r="27" spans="1:9" ht="15">
      <c r="A27" s="25" t="s">
        <v>17</v>
      </c>
      <c r="B27" s="37">
        <f t="shared" ref="B27:I27" si="2">B21+B22+B23+B24-B26</f>
        <v>67.133899436317563</v>
      </c>
      <c r="C27" s="37">
        <f t="shared" si="2"/>
        <v>67.133899436317563</v>
      </c>
      <c r="D27" s="37">
        <f t="shared" si="2"/>
        <v>67.133899436317563</v>
      </c>
      <c r="E27" s="37">
        <f t="shared" si="2"/>
        <v>67.133899436317563</v>
      </c>
      <c r="F27" s="37">
        <f t="shared" si="2"/>
        <v>22.010299956639813</v>
      </c>
      <c r="G27" s="37">
        <f t="shared" si="2"/>
        <v>22.010299956639813</v>
      </c>
      <c r="H27" s="37">
        <f t="shared" si="2"/>
        <v>22.010299956639813</v>
      </c>
      <c r="I27" s="37">
        <f t="shared" si="2"/>
        <v>22.010299956639813</v>
      </c>
    </row>
    <row r="28" spans="1:9" ht="15">
      <c r="A28" s="25" t="s">
        <v>18</v>
      </c>
      <c r="B28" s="37">
        <f t="shared" ref="B28:I28" si="3">B21+B22+B23-B25-B26</f>
        <v>67.133899436317563</v>
      </c>
      <c r="C28" s="37">
        <f t="shared" si="3"/>
        <v>67.133899436317563</v>
      </c>
      <c r="D28" s="37">
        <f t="shared" si="3"/>
        <v>67.133899436317563</v>
      </c>
      <c r="E28" s="37">
        <f t="shared" si="3"/>
        <v>67.133899436317563</v>
      </c>
      <c r="F28" s="37">
        <f t="shared" si="3"/>
        <v>22.010299956639813</v>
      </c>
      <c r="G28" s="37">
        <f t="shared" si="3"/>
        <v>22.010299956639813</v>
      </c>
      <c r="H28" s="37">
        <f t="shared" si="3"/>
        <v>22.010299956639813</v>
      </c>
      <c r="I28" s="37">
        <f t="shared" si="3"/>
        <v>22.010299956639813</v>
      </c>
    </row>
    <row r="29" spans="1:9">
      <c r="A29" s="19" t="s">
        <v>19</v>
      </c>
      <c r="B29" s="32"/>
      <c r="C29" s="32"/>
      <c r="D29" s="32"/>
      <c r="E29" s="32"/>
      <c r="F29" s="32"/>
      <c r="G29" s="32"/>
      <c r="H29" s="32"/>
      <c r="I29" s="32"/>
    </row>
    <row r="30" spans="1:9" ht="30">
      <c r="A30" s="20" t="s">
        <v>94</v>
      </c>
      <c r="B30" s="33">
        <v>4</v>
      </c>
      <c r="C30" s="34">
        <v>4</v>
      </c>
      <c r="D30" s="33">
        <v>4</v>
      </c>
      <c r="E30" s="34">
        <v>4</v>
      </c>
      <c r="F30" s="34">
        <v>128</v>
      </c>
      <c r="G30" s="34">
        <v>128</v>
      </c>
      <c r="H30" s="34">
        <v>128</v>
      </c>
      <c r="I30" s="34">
        <v>128</v>
      </c>
    </row>
    <row r="31" spans="1:9" ht="15">
      <c r="A31" s="20" t="s">
        <v>202</v>
      </c>
      <c r="B31" s="33">
        <v>2</v>
      </c>
      <c r="C31" s="34">
        <v>2</v>
      </c>
      <c r="D31" s="33">
        <v>2</v>
      </c>
      <c r="E31" s="34">
        <v>2</v>
      </c>
      <c r="F31" s="34">
        <v>2</v>
      </c>
      <c r="G31" s="34">
        <v>2</v>
      </c>
      <c r="H31" s="34">
        <v>2</v>
      </c>
      <c r="I31" s="34">
        <v>2</v>
      </c>
    </row>
    <row r="32" spans="1:9" ht="15">
      <c r="A32" s="20" t="s">
        <v>20</v>
      </c>
      <c r="B32" s="33">
        <v>0</v>
      </c>
      <c r="C32" s="34">
        <v>0</v>
      </c>
      <c r="D32" s="33">
        <v>0</v>
      </c>
      <c r="E32" s="34">
        <v>0</v>
      </c>
      <c r="F32" s="34">
        <v>8</v>
      </c>
      <c r="G32" s="34">
        <v>8</v>
      </c>
      <c r="H32" s="34">
        <v>8</v>
      </c>
      <c r="I32" s="34">
        <v>8</v>
      </c>
    </row>
    <row r="33" spans="1:9" ht="28.5">
      <c r="A33" s="26" t="s">
        <v>98</v>
      </c>
      <c r="B33" s="38">
        <f t="shared" ref="B33:I33" si="4">IF(B30&gt;=2, 10*LOG10(B30/2), 0)</f>
        <v>3.0102999566398121</v>
      </c>
      <c r="C33" s="38">
        <f t="shared" si="4"/>
        <v>3.0102999566398121</v>
      </c>
      <c r="D33" s="38">
        <f t="shared" si="4"/>
        <v>3.0102999566398121</v>
      </c>
      <c r="E33" s="38">
        <f t="shared" si="4"/>
        <v>3.0102999566398121</v>
      </c>
      <c r="F33" s="38">
        <f t="shared" si="4"/>
        <v>18.061799739838872</v>
      </c>
      <c r="G33" s="38">
        <f t="shared" si="4"/>
        <v>18.061799739838872</v>
      </c>
      <c r="H33" s="38">
        <f t="shared" si="4"/>
        <v>18.061799739838872</v>
      </c>
      <c r="I33" s="38">
        <f t="shared" si="4"/>
        <v>18.061799739838872</v>
      </c>
    </row>
    <row r="34" spans="1:9" ht="30">
      <c r="A34" s="20" t="s">
        <v>21</v>
      </c>
      <c r="B34" s="33">
        <v>1</v>
      </c>
      <c r="C34" s="34">
        <v>1</v>
      </c>
      <c r="D34" s="33">
        <v>1</v>
      </c>
      <c r="E34" s="34">
        <v>1</v>
      </c>
      <c r="F34" s="34">
        <v>3</v>
      </c>
      <c r="G34" s="34">
        <v>3</v>
      </c>
      <c r="H34" s="34">
        <v>3</v>
      </c>
      <c r="I34" s="34">
        <v>3</v>
      </c>
    </row>
    <row r="35" spans="1:9" ht="15">
      <c r="A35" s="20" t="s">
        <v>22</v>
      </c>
      <c r="B35" s="34">
        <v>7</v>
      </c>
      <c r="C35" s="34">
        <v>7</v>
      </c>
      <c r="D35" s="34">
        <v>7</v>
      </c>
      <c r="E35" s="34">
        <v>7</v>
      </c>
      <c r="F35" s="34">
        <v>5</v>
      </c>
      <c r="G35" s="34">
        <v>5</v>
      </c>
      <c r="H35" s="34">
        <v>5</v>
      </c>
      <c r="I35" s="34">
        <v>5</v>
      </c>
    </row>
    <row r="36" spans="1:9" ht="15">
      <c r="A36" s="20" t="s">
        <v>23</v>
      </c>
      <c r="B36" s="34">
        <v>-174</v>
      </c>
      <c r="C36" s="34">
        <v>-174</v>
      </c>
      <c r="D36" s="34">
        <v>-174</v>
      </c>
      <c r="E36" s="34">
        <v>-174</v>
      </c>
      <c r="F36" s="33">
        <v>-174</v>
      </c>
      <c r="G36" s="34">
        <v>-174</v>
      </c>
      <c r="H36" s="33">
        <v>-174</v>
      </c>
      <c r="I36" s="34">
        <v>-174</v>
      </c>
    </row>
    <row r="37" spans="1:9" ht="30">
      <c r="A37" s="20" t="s">
        <v>24</v>
      </c>
      <c r="B37" s="33" t="s">
        <v>161</v>
      </c>
      <c r="C37" s="34">
        <v>-169.3</v>
      </c>
      <c r="D37" s="33" t="s">
        <v>161</v>
      </c>
      <c r="E37" s="34">
        <v>-169.3</v>
      </c>
      <c r="F37" s="34" t="s">
        <v>161</v>
      </c>
      <c r="G37" s="34">
        <v>-161.69999999999999</v>
      </c>
      <c r="H37" s="34" t="s">
        <v>161</v>
      </c>
      <c r="I37" s="34">
        <v>-161.69999999999999</v>
      </c>
    </row>
    <row r="38" spans="1:9" ht="15">
      <c r="A38" s="20" t="s">
        <v>25</v>
      </c>
      <c r="B38" s="33">
        <v>-169.3</v>
      </c>
      <c r="C38" s="34" t="s">
        <v>161</v>
      </c>
      <c r="D38" s="33">
        <v>-169.3</v>
      </c>
      <c r="E38" s="34" t="s">
        <v>161</v>
      </c>
      <c r="F38" s="34">
        <v>-165.7</v>
      </c>
      <c r="G38" s="34" t="s">
        <v>161</v>
      </c>
      <c r="H38" s="34">
        <v>-165.7</v>
      </c>
      <c r="I38" s="34" t="s">
        <v>161</v>
      </c>
    </row>
    <row r="39" spans="1:9" ht="45">
      <c r="A39" s="27" t="s">
        <v>45</v>
      </c>
      <c r="B39" s="37" t="s">
        <v>210</v>
      </c>
      <c r="C39" s="37">
        <f t="shared" ref="C39:I39" si="5">10*LOG10(10^((C35+C36)/10)+10^(C37/10))</f>
        <v>-164.98918835931039</v>
      </c>
      <c r="D39" s="37" t="s">
        <v>210</v>
      </c>
      <c r="E39" s="37">
        <f t="shared" si="5"/>
        <v>-164.98918835931039</v>
      </c>
      <c r="F39" s="37" t="s">
        <v>210</v>
      </c>
      <c r="G39" s="37">
        <f t="shared" si="5"/>
        <v>-160.9583889004532</v>
      </c>
      <c r="H39" s="37" t="s">
        <v>210</v>
      </c>
      <c r="I39" s="37">
        <f t="shared" si="5"/>
        <v>-160.9583889004532</v>
      </c>
    </row>
    <row r="40" spans="1:9" ht="45">
      <c r="A40" s="27" t="s">
        <v>46</v>
      </c>
      <c r="B40" s="37">
        <f t="shared" ref="B40:H40" si="6">10*LOG10(10^((B35+B36)/10)+10^(B38/10))</f>
        <v>-164.98918835931039</v>
      </c>
      <c r="C40" s="37" t="s">
        <v>210</v>
      </c>
      <c r="D40" s="37">
        <f t="shared" si="6"/>
        <v>-164.98918835931039</v>
      </c>
      <c r="E40" s="37" t="s">
        <v>210</v>
      </c>
      <c r="F40" s="37">
        <f t="shared" si="6"/>
        <v>-164.03352307536667</v>
      </c>
      <c r="G40" s="37" t="s">
        <v>210</v>
      </c>
      <c r="H40" s="37">
        <f t="shared" si="6"/>
        <v>-164.03352307536667</v>
      </c>
      <c r="I40" s="37" t="s">
        <v>210</v>
      </c>
    </row>
    <row r="41" spans="1:9" ht="30">
      <c r="A41" s="20" t="s">
        <v>26</v>
      </c>
      <c r="B41" s="33" t="s">
        <v>161</v>
      </c>
      <c r="C41" s="33">
        <f>MaxN_RB!$F$7*12*30*1000</f>
        <v>18360000</v>
      </c>
      <c r="D41" s="33" t="s">
        <v>161</v>
      </c>
      <c r="E41" s="33">
        <f>MaxN_RB!$F$7*12*30*1000</f>
        <v>18360000</v>
      </c>
      <c r="F41" s="34" t="s">
        <v>161</v>
      </c>
      <c r="G41" s="34">
        <f>1*12*30*1000</f>
        <v>360000</v>
      </c>
      <c r="H41" s="34" t="s">
        <v>161</v>
      </c>
      <c r="I41" s="34">
        <f>1*12*30*1000</f>
        <v>360000</v>
      </c>
    </row>
    <row r="42" spans="1:9" ht="30">
      <c r="A42" s="20" t="s">
        <v>27</v>
      </c>
      <c r="B42" s="33">
        <f>MaxN_RB!$F$7*12*30*1000</f>
        <v>18360000</v>
      </c>
      <c r="C42" s="34" t="s">
        <v>161</v>
      </c>
      <c r="D42" s="33">
        <f>MaxN_RB!$F$7*12*30*1000</f>
        <v>18360000</v>
      </c>
      <c r="E42" s="34" t="s">
        <v>161</v>
      </c>
      <c r="F42" s="34">
        <f>4*12*30*1000</f>
        <v>1440000</v>
      </c>
      <c r="G42" s="34" t="s">
        <v>161</v>
      </c>
      <c r="H42" s="34">
        <f>4*12*30*1000</f>
        <v>1440000</v>
      </c>
      <c r="I42" s="34" t="s">
        <v>161</v>
      </c>
    </row>
    <row r="43" spans="1:9" ht="15">
      <c r="A43" s="25" t="s">
        <v>28</v>
      </c>
      <c r="B43" s="37" t="s">
        <v>210</v>
      </c>
      <c r="C43" s="37">
        <f t="shared" ref="B43:I44" si="7">C39+10*LOG10(C41)</f>
        <v>-92.350461590658156</v>
      </c>
      <c r="D43" s="37" t="s">
        <v>210</v>
      </c>
      <c r="E43" s="37">
        <f t="shared" si="7"/>
        <v>-92.350461590658156</v>
      </c>
      <c r="F43" s="37" t="s">
        <v>210</v>
      </c>
      <c r="G43" s="37">
        <f t="shared" si="7"/>
        <v>-105.39536389278032</v>
      </c>
      <c r="H43" s="37" t="s">
        <v>210</v>
      </c>
      <c r="I43" s="37">
        <f t="shared" si="7"/>
        <v>-105.39536389278032</v>
      </c>
    </row>
    <row r="44" spans="1:9" ht="15">
      <c r="A44" s="25" t="s">
        <v>29</v>
      </c>
      <c r="B44" s="37">
        <f t="shared" si="7"/>
        <v>-92.350461590658156</v>
      </c>
      <c r="C44" s="37" t="s">
        <v>210</v>
      </c>
      <c r="D44" s="37">
        <f t="shared" si="7"/>
        <v>-92.350461590658156</v>
      </c>
      <c r="E44" s="37" t="s">
        <v>210</v>
      </c>
      <c r="F44" s="37">
        <f t="shared" si="7"/>
        <v>-102.44989815441417</v>
      </c>
      <c r="G44" s="37" t="s">
        <v>210</v>
      </c>
      <c r="H44" s="37">
        <f t="shared" si="7"/>
        <v>-102.44989815441417</v>
      </c>
      <c r="I44" s="37" t="s">
        <v>210</v>
      </c>
    </row>
    <row r="45" spans="1:9" ht="15">
      <c r="A45" s="20" t="s">
        <v>30</v>
      </c>
      <c r="B45" s="33" t="s">
        <v>161</v>
      </c>
      <c r="C45" s="34">
        <v>-8.3000000000000007</v>
      </c>
      <c r="D45" s="33" t="s">
        <v>161</v>
      </c>
      <c r="E45" s="34">
        <v>-8.5</v>
      </c>
      <c r="F45" s="33" t="s">
        <v>161</v>
      </c>
      <c r="G45" s="34">
        <v>-6.8</v>
      </c>
      <c r="H45" s="33" t="s">
        <v>161</v>
      </c>
      <c r="I45" s="34">
        <v>-6.8</v>
      </c>
    </row>
    <row r="46" spans="1:9" ht="15">
      <c r="A46" s="20" t="s">
        <v>31</v>
      </c>
      <c r="B46" s="33">
        <v>-0.1</v>
      </c>
      <c r="C46" s="34" t="s">
        <v>161</v>
      </c>
      <c r="D46" s="33">
        <v>-1</v>
      </c>
      <c r="E46" s="34" t="s">
        <v>161</v>
      </c>
      <c r="F46" s="33">
        <v>6</v>
      </c>
      <c r="G46" s="34" t="s">
        <v>161</v>
      </c>
      <c r="H46" s="33">
        <v>3.7</v>
      </c>
      <c r="I46" s="34" t="s">
        <v>161</v>
      </c>
    </row>
    <row r="47" spans="1:9" ht="15">
      <c r="A47" s="20" t="s">
        <v>32</v>
      </c>
      <c r="B47" s="33">
        <v>2</v>
      </c>
      <c r="C47" s="34">
        <v>2</v>
      </c>
      <c r="D47" s="33">
        <v>2</v>
      </c>
      <c r="E47" s="34">
        <v>2</v>
      </c>
      <c r="F47" s="34">
        <v>2</v>
      </c>
      <c r="G47" s="34">
        <v>2</v>
      </c>
      <c r="H47" s="34">
        <v>2</v>
      </c>
      <c r="I47" s="34">
        <v>2</v>
      </c>
    </row>
    <row r="48" spans="1:9" ht="15">
      <c r="A48" s="20" t="s">
        <v>33</v>
      </c>
      <c r="B48" s="33" t="s">
        <v>161</v>
      </c>
      <c r="C48" s="34">
        <v>0</v>
      </c>
      <c r="D48" s="33" t="s">
        <v>161</v>
      </c>
      <c r="E48" s="34">
        <v>0</v>
      </c>
      <c r="F48" s="34" t="s">
        <v>161</v>
      </c>
      <c r="G48" s="34">
        <v>0</v>
      </c>
      <c r="H48" s="34" t="s">
        <v>161</v>
      </c>
      <c r="I48" s="34">
        <v>0</v>
      </c>
    </row>
    <row r="49" spans="1:11" ht="15">
      <c r="A49" s="20" t="s">
        <v>34</v>
      </c>
      <c r="B49" s="33">
        <v>0.5</v>
      </c>
      <c r="C49" s="34" t="s">
        <v>161</v>
      </c>
      <c r="D49" s="33">
        <v>0.5</v>
      </c>
      <c r="E49" s="34" t="s">
        <v>161</v>
      </c>
      <c r="F49" s="34">
        <v>0.5</v>
      </c>
      <c r="G49" s="34" t="s">
        <v>161</v>
      </c>
      <c r="H49" s="34">
        <v>0.5</v>
      </c>
      <c r="I49" s="34" t="s">
        <v>161</v>
      </c>
    </row>
    <row r="50" spans="1:11" ht="30">
      <c r="A50" s="27" t="s">
        <v>47</v>
      </c>
      <c r="B50" s="37" t="s">
        <v>210</v>
      </c>
      <c r="C50" s="37">
        <f t="shared" ref="C50:I50" si="8">C43+C45+C47-C48</f>
        <v>-98.650461590658153</v>
      </c>
      <c r="D50" s="37" t="s">
        <v>210</v>
      </c>
      <c r="E50" s="37">
        <f t="shared" si="8"/>
        <v>-98.850461590658156</v>
      </c>
      <c r="F50" s="37" t="s">
        <v>210</v>
      </c>
      <c r="G50" s="37">
        <f t="shared" si="8"/>
        <v>-110.19536389278032</v>
      </c>
      <c r="H50" s="37" t="s">
        <v>210</v>
      </c>
      <c r="I50" s="37">
        <f t="shared" si="8"/>
        <v>-110.19536389278032</v>
      </c>
    </row>
    <row r="51" spans="1:11" ht="30">
      <c r="A51" s="27" t="s">
        <v>122</v>
      </c>
      <c r="B51" s="37">
        <f t="shared" ref="B51:H51" si="9">B44+B46+B47-B49</f>
        <v>-90.950461590658151</v>
      </c>
      <c r="C51" s="37" t="s">
        <v>210</v>
      </c>
      <c r="D51" s="37">
        <f t="shared" si="9"/>
        <v>-91.850461590658156</v>
      </c>
      <c r="E51" s="37" t="s">
        <v>210</v>
      </c>
      <c r="F51" s="37">
        <f t="shared" si="9"/>
        <v>-94.949898154414171</v>
      </c>
      <c r="G51" s="37" t="s">
        <v>210</v>
      </c>
      <c r="H51" s="37">
        <f t="shared" si="9"/>
        <v>-97.249898154414169</v>
      </c>
      <c r="I51" s="37" t="s">
        <v>210</v>
      </c>
    </row>
    <row r="52" spans="1:11" ht="30">
      <c r="A52" s="27" t="s">
        <v>123</v>
      </c>
      <c r="B52" s="37" t="s">
        <v>210</v>
      </c>
      <c r="C52" s="37">
        <f t="shared" ref="C52:I52" si="10">C27+C32+C33-C50</f>
        <v>168.79466098361553</v>
      </c>
      <c r="D52" s="37" t="s">
        <v>210</v>
      </c>
      <c r="E52" s="37">
        <f t="shared" si="10"/>
        <v>168.99466098361552</v>
      </c>
      <c r="F52" s="37" t="s">
        <v>210</v>
      </c>
      <c r="G52" s="37">
        <f t="shared" si="10"/>
        <v>158.26746358925902</v>
      </c>
      <c r="H52" s="37" t="s">
        <v>210</v>
      </c>
      <c r="I52" s="37">
        <f t="shared" si="10"/>
        <v>158.26746358925902</v>
      </c>
    </row>
    <row r="53" spans="1:11" ht="33.75" customHeight="1">
      <c r="A53" s="27" t="s">
        <v>124</v>
      </c>
      <c r="B53" s="37">
        <f t="shared" ref="B53:H53" si="11">B28+B32+B33-B51</f>
        <v>161.09466098361554</v>
      </c>
      <c r="C53" s="37" t="s">
        <v>210</v>
      </c>
      <c r="D53" s="37">
        <f t="shared" si="11"/>
        <v>161.99466098361552</v>
      </c>
      <c r="E53" s="37" t="s">
        <v>210</v>
      </c>
      <c r="F53" s="37">
        <f t="shared" si="11"/>
        <v>143.02199785089286</v>
      </c>
      <c r="G53" s="37" t="s">
        <v>210</v>
      </c>
      <c r="H53" s="37">
        <f t="shared" si="11"/>
        <v>145.32199785089284</v>
      </c>
      <c r="I53" s="37" t="s">
        <v>210</v>
      </c>
      <c r="K53" s="14"/>
    </row>
    <row r="54" spans="1:11">
      <c r="A54" s="19" t="s">
        <v>35</v>
      </c>
      <c r="B54" s="32"/>
      <c r="C54" s="32"/>
      <c r="D54" s="32"/>
      <c r="E54" s="32"/>
      <c r="F54" s="32"/>
      <c r="G54" s="32"/>
      <c r="H54" s="32"/>
      <c r="I54" s="32"/>
    </row>
    <row r="55" spans="1:11" ht="15">
      <c r="A55" s="20" t="s">
        <v>36</v>
      </c>
      <c r="B55" s="34">
        <v>6</v>
      </c>
      <c r="C55" s="34">
        <v>6</v>
      </c>
      <c r="D55" s="34">
        <v>6</v>
      </c>
      <c r="E55" s="34">
        <v>6</v>
      </c>
      <c r="F55" s="34">
        <v>6</v>
      </c>
      <c r="G55" s="34">
        <v>6</v>
      </c>
      <c r="H55" s="34">
        <v>6</v>
      </c>
      <c r="I55" s="34">
        <v>6</v>
      </c>
    </row>
    <row r="56" spans="1:11" ht="30">
      <c r="A56" s="20" t="s">
        <v>37</v>
      </c>
      <c r="B56" s="33" t="s">
        <v>107</v>
      </c>
      <c r="C56" s="34">
        <v>8.07</v>
      </c>
      <c r="D56" s="33" t="s">
        <v>107</v>
      </c>
      <c r="E56" s="34">
        <v>9.0399999999999991</v>
      </c>
      <c r="F56" s="33" t="s">
        <v>106</v>
      </c>
      <c r="G56" s="34">
        <v>8.07</v>
      </c>
      <c r="H56" s="33" t="s">
        <v>107</v>
      </c>
      <c r="I56" s="34">
        <v>9.0399999999999991</v>
      </c>
    </row>
    <row r="57" spans="1:11" ht="30">
      <c r="A57" s="20" t="s">
        <v>38</v>
      </c>
      <c r="B57" s="33">
        <v>4.8499999999999996</v>
      </c>
      <c r="C57" s="34" t="s">
        <v>108</v>
      </c>
      <c r="D57" s="33">
        <v>5.6</v>
      </c>
      <c r="E57" s="34" t="s">
        <v>108</v>
      </c>
      <c r="F57" s="33">
        <v>4.8499999999999996</v>
      </c>
      <c r="G57" s="34" t="s">
        <v>106</v>
      </c>
      <c r="H57" s="33">
        <v>5.6</v>
      </c>
      <c r="I57" s="34" t="s">
        <v>108</v>
      </c>
    </row>
    <row r="58" spans="1:11" ht="15">
      <c r="A58" s="20" t="s">
        <v>39</v>
      </c>
      <c r="B58" s="34">
        <v>0</v>
      </c>
      <c r="C58" s="34">
        <v>0</v>
      </c>
      <c r="D58" s="34">
        <v>0</v>
      </c>
      <c r="E58" s="34">
        <v>0</v>
      </c>
      <c r="F58" s="34">
        <v>0</v>
      </c>
      <c r="G58" s="34">
        <v>0</v>
      </c>
      <c r="H58" s="34">
        <v>0</v>
      </c>
      <c r="I58" s="34">
        <v>0</v>
      </c>
    </row>
    <row r="59" spans="1:11" ht="16.5" customHeight="1">
      <c r="A59" s="20" t="s">
        <v>40</v>
      </c>
      <c r="B59" s="33">
        <f>9</f>
        <v>9</v>
      </c>
      <c r="C59" s="33">
        <f>9</f>
        <v>9</v>
      </c>
      <c r="D59" s="33">
        <v>17.98</v>
      </c>
      <c r="E59" s="33">
        <v>17.98</v>
      </c>
      <c r="F59" s="33">
        <f>9</f>
        <v>9</v>
      </c>
      <c r="G59" s="33">
        <f>9</f>
        <v>9</v>
      </c>
      <c r="H59" s="33">
        <v>17.98</v>
      </c>
      <c r="I59" s="33">
        <v>17.98</v>
      </c>
    </row>
    <row r="60" spans="1:11" ht="15">
      <c r="A60" s="20" t="s">
        <v>41</v>
      </c>
      <c r="B60" s="34">
        <v>0</v>
      </c>
      <c r="C60" s="34">
        <v>0</v>
      </c>
      <c r="D60" s="34">
        <v>0</v>
      </c>
      <c r="E60" s="34">
        <v>0</v>
      </c>
      <c r="F60" s="34">
        <v>0</v>
      </c>
      <c r="G60" s="34">
        <v>0</v>
      </c>
      <c r="H60" s="34">
        <v>0</v>
      </c>
      <c r="I60" s="34">
        <v>0</v>
      </c>
    </row>
    <row r="61" spans="1:11" ht="30">
      <c r="A61" s="27" t="s">
        <v>54</v>
      </c>
      <c r="B61" s="37" t="s">
        <v>210</v>
      </c>
      <c r="C61" s="37">
        <f t="shared" ref="C61:I61" si="12">C52-C56+C58-C59+C60-C34</f>
        <v>150.72466098361554</v>
      </c>
      <c r="D61" s="37" t="s">
        <v>210</v>
      </c>
      <c r="E61" s="37">
        <f t="shared" si="12"/>
        <v>140.97466098361554</v>
      </c>
      <c r="F61" s="37" t="s">
        <v>210</v>
      </c>
      <c r="G61" s="37">
        <f t="shared" si="12"/>
        <v>138.19746358925903</v>
      </c>
      <c r="H61" s="37" t="s">
        <v>210</v>
      </c>
      <c r="I61" s="37">
        <f t="shared" si="12"/>
        <v>128.24746358925904</v>
      </c>
    </row>
    <row r="62" spans="1:11" ht="30">
      <c r="A62" s="27" t="s">
        <v>49</v>
      </c>
      <c r="B62" s="37">
        <f t="shared" ref="B62:H62" si="13">B53-B57+B58-B59+B60-B34</f>
        <v>146.24466098361555</v>
      </c>
      <c r="C62" s="37" t="s">
        <v>210</v>
      </c>
      <c r="D62" s="37">
        <f t="shared" si="13"/>
        <v>137.41466098361553</v>
      </c>
      <c r="E62" s="37" t="s">
        <v>210</v>
      </c>
      <c r="F62" s="37">
        <f t="shared" si="13"/>
        <v>126.17199785089286</v>
      </c>
      <c r="G62" s="37" t="s">
        <v>210</v>
      </c>
      <c r="H62" s="37">
        <f t="shared" si="13"/>
        <v>118.74199785089284</v>
      </c>
      <c r="I62" s="37" t="s">
        <v>210</v>
      </c>
    </row>
    <row r="63" spans="1:11">
      <c r="A63" s="19" t="s">
        <v>42</v>
      </c>
      <c r="B63" s="32"/>
      <c r="C63" s="32"/>
      <c r="D63" s="32"/>
      <c r="E63" s="32"/>
      <c r="F63" s="32"/>
      <c r="G63" s="32"/>
      <c r="H63" s="32"/>
      <c r="I63" s="32"/>
    </row>
    <row r="64" spans="1:11" ht="30">
      <c r="A64" s="29" t="s">
        <v>43</v>
      </c>
      <c r="B64" s="34" t="s">
        <v>105</v>
      </c>
      <c r="C64" s="34">
        <f>10^((C61-13.54-20*LOG10(C$4)+0.6*(C$6-1.5))/39.08)</f>
        <v>1593.0815318358618</v>
      </c>
      <c r="D64" s="34" t="s">
        <v>105</v>
      </c>
      <c r="E64" s="34">
        <f>10^((E61-13.54-20*LOG10(E$4)+0.6*(E$6-1.5))/39.08)</f>
        <v>896.91187430801835</v>
      </c>
      <c r="F64" s="34" t="s">
        <v>105</v>
      </c>
      <c r="G64" s="34">
        <f>10^((G61-13.54-20*LOG10(G$4)+0.6*(G$6-1.5))/39.08)</f>
        <v>761.52709011983052</v>
      </c>
      <c r="H64" s="34" t="s">
        <v>105</v>
      </c>
      <c r="I64" s="34">
        <f>10^((I61-13.54-20*LOG10(I$4)+0.6*(I$6-1.5))/39.08)</f>
        <v>423.72044600354388</v>
      </c>
    </row>
    <row r="65" spans="1:11" ht="30">
      <c r="A65" s="29" t="s">
        <v>44</v>
      </c>
      <c r="B65" s="34">
        <f>10^((B62-13.54-20*LOG10(B$4)+0.6*(B$6-1.5))/39.08)</f>
        <v>1223.4926373024302</v>
      </c>
      <c r="C65" s="34" t="s">
        <v>105</v>
      </c>
      <c r="D65" s="34">
        <f>10^((D62-13.54-20*LOG10(D$4)+0.6*(D$6-1.5))/39.08)</f>
        <v>727.2011958071364</v>
      </c>
      <c r="E65" s="34" t="s">
        <v>105</v>
      </c>
      <c r="F65" s="34">
        <f>10^((F62-13.54-20*LOG10(F$4)+0.6*(F$6-1.5))/39.08)</f>
        <v>374.94821488876408</v>
      </c>
      <c r="G65" s="34" t="s">
        <v>105</v>
      </c>
      <c r="H65" s="34">
        <f>10^((H62-13.54-20*LOG10(H$4)+0.6*(H$6-1.5))/39.08)</f>
        <v>242.01844449665421</v>
      </c>
      <c r="I65" s="34" t="s">
        <v>105</v>
      </c>
      <c r="K65" s="15"/>
    </row>
    <row r="66" spans="1:11" ht="18">
      <c r="A66" s="29" t="s">
        <v>120</v>
      </c>
      <c r="B66" s="34" t="s">
        <v>68</v>
      </c>
      <c r="C66" s="34">
        <f>PI()*(C64)^2</f>
        <v>7973075.5381286498</v>
      </c>
      <c r="D66" s="34" t="s">
        <v>68</v>
      </c>
      <c r="E66" s="34">
        <f>PI()*(E64)^2</f>
        <v>2527257.0698926901</v>
      </c>
      <c r="F66" s="34" t="s">
        <v>68</v>
      </c>
      <c r="G66" s="34">
        <f>PI()*(G64)^2</f>
        <v>1821883.4354756146</v>
      </c>
      <c r="H66" s="34" t="s">
        <v>68</v>
      </c>
      <c r="I66" s="34">
        <f>PI()*(I64)^2</f>
        <v>564038.45483384433</v>
      </c>
    </row>
    <row r="67" spans="1:11" ht="18">
      <c r="A67" s="29" t="s">
        <v>121</v>
      </c>
      <c r="B67" s="34">
        <f>PI()*(B65)^2</f>
        <v>4702757.5909751458</v>
      </c>
      <c r="C67" s="34" t="s">
        <v>68</v>
      </c>
      <c r="D67" s="34">
        <f>PI()*(D65)^2</f>
        <v>1661341.9882220998</v>
      </c>
      <c r="E67" s="34" t="s">
        <v>68</v>
      </c>
      <c r="F67" s="34">
        <f>PI()*(F65)^2</f>
        <v>441664.45954209851</v>
      </c>
      <c r="G67" s="34" t="s">
        <v>68</v>
      </c>
      <c r="H67" s="34">
        <f>PI()*(H65)^2</f>
        <v>184012.27865967178</v>
      </c>
      <c r="I67" s="34" t="s">
        <v>68</v>
      </c>
    </row>
    <row r="72" spans="1:11" s="16" customFormat="1" ht="15">
      <c r="A72" s="43"/>
      <c r="B72" s="44"/>
      <c r="C72" s="44"/>
      <c r="D72" s="44"/>
      <c r="E72" s="44"/>
      <c r="F72" s="45"/>
      <c r="G72" s="45"/>
      <c r="H72" s="45"/>
      <c r="I72" s="45"/>
    </row>
  </sheetData>
  <mergeCells count="2">
    <mergeCell ref="B1:E1"/>
    <mergeCell ref="F1:I1"/>
  </mergeCells>
  <phoneticPr fontId="1" type="noConversion"/>
  <pageMargins left="0.75" right="0.75" top="1" bottom="1" header="0.5" footer="0.5"/>
  <pageSetup paperSize="9" orientation="portrait" r:id="rId1"/>
  <headerFooter alignWithMargins="0">
    <oddHeader>&amp;L&amp;G&amp;C&amp;F&amp;R文档密级</oddHeader>
    <oddFooter>&amp;L&amp;D&amp;C华为机密，未经许可不得扩散&amp;R第&amp;P页，共&amp;N页</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85" zoomScaleNormal="85" workbookViewId="0">
      <pane xSplit="1" ySplit="3" topLeftCell="B37" activePane="bottomRight" state="frozen"/>
      <selection pane="topRight" activeCell="B1" sqref="B1"/>
      <selection pane="bottomLeft" activeCell="A4" sqref="A4"/>
      <selection pane="bottomRight" activeCell="F42" sqref="F42"/>
    </sheetView>
  </sheetViews>
  <sheetFormatPr defaultRowHeight="14.25"/>
  <cols>
    <col min="1" max="1" width="62.125" style="30" bestFit="1" customWidth="1"/>
    <col min="2" max="2" width="15.375" style="39" bestFit="1" customWidth="1"/>
    <col min="3" max="3" width="12.25" style="39" bestFit="1" customWidth="1"/>
    <col min="4" max="5" width="11.875" style="39" customWidth="1"/>
    <col min="6" max="6" width="11" style="40" bestFit="1" customWidth="1"/>
    <col min="7" max="7" width="15.25" style="40" customWidth="1"/>
    <col min="8" max="8" width="15.125" style="40" customWidth="1"/>
    <col min="9" max="9" width="15.75" style="40" customWidth="1"/>
    <col min="11" max="11" width="20.25" bestFit="1" customWidth="1"/>
  </cols>
  <sheetData>
    <row r="1" spans="1:9">
      <c r="A1" s="17" t="s">
        <v>0</v>
      </c>
      <c r="B1" s="96" t="s">
        <v>164</v>
      </c>
      <c r="C1" s="96"/>
      <c r="D1" s="96"/>
      <c r="E1" s="97"/>
      <c r="F1" s="99" t="s">
        <v>165</v>
      </c>
      <c r="G1" s="99"/>
      <c r="H1" s="99"/>
      <c r="I1" s="99"/>
    </row>
    <row r="2" spans="1:9" ht="42.75">
      <c r="A2" s="17"/>
      <c r="B2" s="31" t="s">
        <v>51</v>
      </c>
      <c r="C2" s="31" t="s">
        <v>57</v>
      </c>
      <c r="D2" s="31" t="s">
        <v>55</v>
      </c>
      <c r="E2" s="31" t="s">
        <v>56</v>
      </c>
      <c r="F2" s="31" t="s">
        <v>53</v>
      </c>
      <c r="G2" s="31" t="s">
        <v>166</v>
      </c>
      <c r="H2" s="31" t="s">
        <v>167</v>
      </c>
      <c r="I2" s="31" t="s">
        <v>168</v>
      </c>
    </row>
    <row r="3" spans="1:9">
      <c r="A3" s="19" t="s">
        <v>1</v>
      </c>
      <c r="B3" s="32"/>
      <c r="C3" s="32"/>
      <c r="D3" s="32"/>
      <c r="E3" s="32"/>
      <c r="F3" s="32"/>
      <c r="G3" s="32"/>
      <c r="H3" s="32"/>
      <c r="I3" s="32"/>
    </row>
    <row r="4" spans="1:9" ht="15">
      <c r="A4" s="20" t="s">
        <v>2</v>
      </c>
      <c r="B4" s="34">
        <v>4</v>
      </c>
      <c r="C4" s="34">
        <v>4</v>
      </c>
      <c r="D4" s="34">
        <v>4</v>
      </c>
      <c r="E4" s="34">
        <v>4</v>
      </c>
      <c r="F4" s="34">
        <v>4</v>
      </c>
      <c r="G4" s="34">
        <v>4</v>
      </c>
      <c r="H4" s="34">
        <v>4</v>
      </c>
      <c r="I4" s="34">
        <v>4</v>
      </c>
    </row>
    <row r="5" spans="1:9" ht="15">
      <c r="A5" s="20" t="s">
        <v>3</v>
      </c>
      <c r="B5" s="34">
        <v>25</v>
      </c>
      <c r="C5" s="34">
        <v>25</v>
      </c>
      <c r="D5" s="34">
        <v>25</v>
      </c>
      <c r="E5" s="34">
        <v>25</v>
      </c>
      <c r="F5" s="34">
        <v>25</v>
      </c>
      <c r="G5" s="34">
        <v>25</v>
      </c>
      <c r="H5" s="34">
        <v>25</v>
      </c>
      <c r="I5" s="34">
        <v>25</v>
      </c>
    </row>
    <row r="6" spans="1:9" ht="15">
      <c r="A6" s="20" t="s">
        <v>4</v>
      </c>
      <c r="B6" s="34">
        <v>1.5</v>
      </c>
      <c r="C6" s="34">
        <v>1.5</v>
      </c>
      <c r="D6" s="34">
        <v>1.5</v>
      </c>
      <c r="E6" s="34">
        <v>1.5</v>
      </c>
      <c r="F6" s="34">
        <v>1.5</v>
      </c>
      <c r="G6" s="34">
        <v>1.5</v>
      </c>
      <c r="H6" s="34">
        <v>1.5</v>
      </c>
      <c r="I6" s="34">
        <v>1.5</v>
      </c>
    </row>
    <row r="7" spans="1:9" ht="31.5">
      <c r="A7" s="20" t="s">
        <v>109</v>
      </c>
      <c r="B7" s="21" t="s">
        <v>169</v>
      </c>
      <c r="C7" s="22">
        <v>0.95</v>
      </c>
      <c r="D7" s="21" t="s">
        <v>169</v>
      </c>
      <c r="E7" s="22">
        <v>0.95</v>
      </c>
      <c r="F7" s="22" t="s">
        <v>169</v>
      </c>
      <c r="G7" s="22">
        <v>0.95</v>
      </c>
      <c r="H7" s="22" t="s">
        <v>169</v>
      </c>
      <c r="I7" s="22">
        <v>0.95</v>
      </c>
    </row>
    <row r="8" spans="1:9" ht="31.5">
      <c r="A8" s="20" t="s">
        <v>110</v>
      </c>
      <c r="B8" s="21">
        <v>0.9</v>
      </c>
      <c r="C8" s="22" t="s">
        <v>169</v>
      </c>
      <c r="D8" s="21">
        <v>0.9</v>
      </c>
      <c r="E8" s="22" t="s">
        <v>169</v>
      </c>
      <c r="F8" s="22">
        <v>0.9</v>
      </c>
      <c r="G8" s="22" t="s">
        <v>169</v>
      </c>
      <c r="H8" s="22">
        <v>0.9</v>
      </c>
      <c r="I8" s="22" t="s">
        <v>169</v>
      </c>
    </row>
    <row r="9" spans="1:9" ht="15">
      <c r="A9" s="20" t="s">
        <v>5</v>
      </c>
      <c r="B9" s="33" t="s">
        <v>169</v>
      </c>
      <c r="C9" s="34">
        <f>64/(0.001)</f>
        <v>64000</v>
      </c>
      <c r="D9" s="33" t="s">
        <v>169</v>
      </c>
      <c r="E9" s="34">
        <f>64/(0.001)</f>
        <v>64000</v>
      </c>
      <c r="F9" s="34" t="s">
        <v>169</v>
      </c>
      <c r="G9" s="34">
        <f>2/(0.5*0.001)</f>
        <v>4000</v>
      </c>
      <c r="H9" s="34"/>
      <c r="I9" s="34">
        <f>2/(0.5*0.001)</f>
        <v>4000</v>
      </c>
    </row>
    <row r="10" spans="1:9" ht="15">
      <c r="A10" s="20" t="s">
        <v>6</v>
      </c>
      <c r="B10" s="33">
        <f>2248233*3</f>
        <v>6744699</v>
      </c>
      <c r="C10" s="34" t="s">
        <v>169</v>
      </c>
      <c r="D10" s="33">
        <f>2248233*3</f>
        <v>6744699</v>
      </c>
      <c r="E10" s="34" t="s">
        <v>169</v>
      </c>
      <c r="F10" s="34">
        <f>74880*3</f>
        <v>224640</v>
      </c>
      <c r="G10" s="34" t="s">
        <v>169</v>
      </c>
      <c r="H10" s="34">
        <f>74880*3</f>
        <v>224640</v>
      </c>
      <c r="I10" s="34" t="s">
        <v>169</v>
      </c>
    </row>
    <row r="11" spans="1:9" ht="15">
      <c r="A11" s="20" t="s">
        <v>7</v>
      </c>
      <c r="B11" s="21" t="s">
        <v>169</v>
      </c>
      <c r="C11" s="22">
        <v>0.01</v>
      </c>
      <c r="D11" s="21" t="s">
        <v>169</v>
      </c>
      <c r="E11" s="22">
        <v>0.01</v>
      </c>
      <c r="F11" s="22" t="s">
        <v>169</v>
      </c>
      <c r="G11" s="22">
        <v>0.01</v>
      </c>
      <c r="H11" s="22" t="s">
        <v>169</v>
      </c>
      <c r="I11" s="22">
        <v>0.01</v>
      </c>
    </row>
    <row r="12" spans="1:9" ht="15">
      <c r="A12" s="20" t="s">
        <v>8</v>
      </c>
      <c r="B12" s="21">
        <v>0.1</v>
      </c>
      <c r="C12" s="22" t="s">
        <v>169</v>
      </c>
      <c r="D12" s="21">
        <v>0.1</v>
      </c>
      <c r="E12" s="22" t="s">
        <v>169</v>
      </c>
      <c r="F12" s="22">
        <v>0.1</v>
      </c>
      <c r="G12" s="22" t="s">
        <v>169</v>
      </c>
      <c r="H12" s="22">
        <v>0.1</v>
      </c>
      <c r="I12" s="22" t="s">
        <v>169</v>
      </c>
    </row>
    <row r="13" spans="1:9" ht="16.5">
      <c r="A13" s="20" t="s">
        <v>111</v>
      </c>
      <c r="B13" s="33">
        <f>B10/(B42*(4+2*11/14+1/14)/10)</f>
        <v>0.65101476793248958</v>
      </c>
      <c r="C13" s="33" t="s">
        <v>169</v>
      </c>
      <c r="D13" s="33">
        <f>D10/(D42*(4+2*11/14+1/14)/10)</f>
        <v>0.65101476793248958</v>
      </c>
      <c r="E13" s="33" t="s">
        <v>169</v>
      </c>
      <c r="F13" s="33">
        <f>F10/(F42*(4+2*2/14+1/14)/10)</f>
        <v>0.35803278688524592</v>
      </c>
      <c r="G13" s="33" t="s">
        <v>169</v>
      </c>
      <c r="H13" s="33">
        <f>H10/(H42*(4+2*2/14+1/14)/10)</f>
        <v>0.35803278688524592</v>
      </c>
      <c r="I13" s="34" t="s">
        <v>169</v>
      </c>
    </row>
    <row r="14" spans="1:9" ht="16.5">
      <c r="A14" s="20" t="s">
        <v>112</v>
      </c>
      <c r="B14" s="33" t="s">
        <v>170</v>
      </c>
      <c r="C14" s="33" t="s">
        <v>170</v>
      </c>
      <c r="D14" s="33" t="s">
        <v>171</v>
      </c>
      <c r="E14" s="33" t="s">
        <v>171</v>
      </c>
      <c r="F14" s="33" t="s">
        <v>170</v>
      </c>
      <c r="G14" s="33" t="s">
        <v>170</v>
      </c>
      <c r="H14" s="33" t="s">
        <v>171</v>
      </c>
      <c r="I14" s="33" t="s">
        <v>171</v>
      </c>
    </row>
    <row r="15" spans="1:9" ht="15">
      <c r="A15" s="20" t="s">
        <v>172</v>
      </c>
      <c r="B15" s="33">
        <v>30</v>
      </c>
      <c r="C15" s="34">
        <v>30</v>
      </c>
      <c r="D15" s="33">
        <v>3</v>
      </c>
      <c r="E15" s="34">
        <v>3</v>
      </c>
      <c r="F15" s="34">
        <v>30</v>
      </c>
      <c r="G15" s="34">
        <v>30</v>
      </c>
      <c r="H15" s="34">
        <v>3</v>
      </c>
      <c r="I15" s="34">
        <v>3</v>
      </c>
    </row>
    <row r="16" spans="1:9" ht="15">
      <c r="A16" s="20" t="s">
        <v>9</v>
      </c>
      <c r="B16" s="33">
        <v>3</v>
      </c>
      <c r="C16" s="34">
        <v>3</v>
      </c>
      <c r="D16" s="33">
        <v>3</v>
      </c>
      <c r="E16" s="34">
        <v>3</v>
      </c>
      <c r="F16" s="34">
        <v>3</v>
      </c>
      <c r="G16" s="34">
        <v>3</v>
      </c>
      <c r="H16" s="34">
        <v>3</v>
      </c>
      <c r="I16" s="34">
        <v>3</v>
      </c>
    </row>
    <row r="17" spans="1:9">
      <c r="A17" s="19" t="s">
        <v>10</v>
      </c>
      <c r="B17" s="32"/>
      <c r="C17" s="32"/>
      <c r="D17" s="32"/>
      <c r="E17" s="32"/>
      <c r="F17" s="32"/>
      <c r="G17" s="32"/>
      <c r="H17" s="32"/>
      <c r="I17" s="32"/>
    </row>
    <row r="18" spans="1:9" ht="30">
      <c r="A18" s="20" t="s">
        <v>173</v>
      </c>
      <c r="B18" s="33">
        <v>256</v>
      </c>
      <c r="C18" s="33">
        <v>256</v>
      </c>
      <c r="D18" s="33">
        <v>256</v>
      </c>
      <c r="E18" s="33">
        <v>256</v>
      </c>
      <c r="F18" s="34">
        <v>2</v>
      </c>
      <c r="G18" s="34">
        <v>2</v>
      </c>
      <c r="H18" s="34">
        <v>2</v>
      </c>
      <c r="I18" s="34">
        <v>2</v>
      </c>
    </row>
    <row r="19" spans="1:9" ht="15">
      <c r="A19" s="20" t="s">
        <v>203</v>
      </c>
      <c r="B19" s="33">
        <v>2</v>
      </c>
      <c r="C19" s="33">
        <v>2</v>
      </c>
      <c r="D19" s="33">
        <v>2</v>
      </c>
      <c r="E19" s="33">
        <v>2</v>
      </c>
      <c r="F19" s="34">
        <v>2</v>
      </c>
      <c r="G19" s="34">
        <v>2</v>
      </c>
      <c r="H19" s="34">
        <v>2</v>
      </c>
      <c r="I19" s="34">
        <v>2</v>
      </c>
    </row>
    <row r="20" spans="1:9" ht="15">
      <c r="A20" s="20" t="s">
        <v>11</v>
      </c>
      <c r="B20" s="33">
        <v>20</v>
      </c>
      <c r="C20" s="33">
        <v>20</v>
      </c>
      <c r="D20" s="33">
        <v>20</v>
      </c>
      <c r="E20" s="33">
        <v>20</v>
      </c>
      <c r="F20" s="34">
        <v>20</v>
      </c>
      <c r="G20" s="34">
        <v>20</v>
      </c>
      <c r="H20" s="34">
        <v>20</v>
      </c>
      <c r="I20" s="34">
        <v>20</v>
      </c>
    </row>
    <row r="21" spans="1:9" ht="30">
      <c r="A21" s="41" t="s">
        <v>174</v>
      </c>
      <c r="B21" s="38">
        <f t="shared" ref="B21:I21" si="0">B20+10*LOG10(B18)</f>
        <v>44.0823996531185</v>
      </c>
      <c r="C21" s="38">
        <f t="shared" si="0"/>
        <v>44.0823996531185</v>
      </c>
      <c r="D21" s="38">
        <f t="shared" si="0"/>
        <v>44.0823996531185</v>
      </c>
      <c r="E21" s="38">
        <f t="shared" si="0"/>
        <v>44.0823996531185</v>
      </c>
      <c r="F21" s="38">
        <f t="shared" si="0"/>
        <v>23.010299956639813</v>
      </c>
      <c r="G21" s="38">
        <f t="shared" si="0"/>
        <v>23.010299956639813</v>
      </c>
      <c r="H21" s="38">
        <f t="shared" si="0"/>
        <v>23.010299956639813</v>
      </c>
      <c r="I21" s="38">
        <f t="shared" si="0"/>
        <v>23.010299956639813</v>
      </c>
    </row>
    <row r="22" spans="1:9" ht="15">
      <c r="A22" s="20" t="s">
        <v>12</v>
      </c>
      <c r="B22" s="33">
        <v>8</v>
      </c>
      <c r="C22" s="34">
        <v>8</v>
      </c>
      <c r="D22" s="33">
        <v>8</v>
      </c>
      <c r="E22" s="34">
        <v>8</v>
      </c>
      <c r="F22" s="34">
        <v>0</v>
      </c>
      <c r="G22" s="34">
        <v>0</v>
      </c>
      <c r="H22" s="34">
        <v>0</v>
      </c>
      <c r="I22" s="34">
        <v>0</v>
      </c>
    </row>
    <row r="23" spans="1:9" ht="45">
      <c r="A23" s="42" t="s">
        <v>13</v>
      </c>
      <c r="B23" s="38">
        <f t="shared" ref="B23:I23" si="1">IF(B18&gt;=2, 10*LOG10(B18/2), 0)</f>
        <v>21.072099696478684</v>
      </c>
      <c r="C23" s="38">
        <f t="shared" si="1"/>
        <v>21.072099696478684</v>
      </c>
      <c r="D23" s="38">
        <f t="shared" si="1"/>
        <v>21.072099696478684</v>
      </c>
      <c r="E23" s="38">
        <f t="shared" si="1"/>
        <v>21.072099696478684</v>
      </c>
      <c r="F23" s="38">
        <f t="shared" si="1"/>
        <v>0</v>
      </c>
      <c r="G23" s="38">
        <f t="shared" si="1"/>
        <v>0</v>
      </c>
      <c r="H23" s="38">
        <f t="shared" si="1"/>
        <v>0</v>
      </c>
      <c r="I23" s="38">
        <f t="shared" si="1"/>
        <v>0</v>
      </c>
    </row>
    <row r="24" spans="1:9" ht="15">
      <c r="A24" s="20" t="s">
        <v>14</v>
      </c>
      <c r="B24" s="33">
        <v>0</v>
      </c>
      <c r="C24" s="34">
        <v>0</v>
      </c>
      <c r="D24" s="33">
        <v>0</v>
      </c>
      <c r="E24" s="34">
        <v>0</v>
      </c>
      <c r="F24" s="34">
        <v>0</v>
      </c>
      <c r="G24" s="34">
        <v>0</v>
      </c>
      <c r="H24" s="34">
        <v>0</v>
      </c>
      <c r="I24" s="34">
        <v>0</v>
      </c>
    </row>
    <row r="25" spans="1:9" ht="15">
      <c r="A25" s="20" t="s">
        <v>15</v>
      </c>
      <c r="B25" s="33">
        <v>0</v>
      </c>
      <c r="C25" s="34">
        <v>0</v>
      </c>
      <c r="D25" s="33">
        <v>0</v>
      </c>
      <c r="E25" s="34">
        <v>0</v>
      </c>
      <c r="F25" s="34">
        <v>0</v>
      </c>
      <c r="G25" s="34">
        <v>0</v>
      </c>
      <c r="H25" s="34">
        <v>0</v>
      </c>
      <c r="I25" s="34">
        <v>0</v>
      </c>
    </row>
    <row r="26" spans="1:9" ht="30">
      <c r="A26" s="20" t="s">
        <v>16</v>
      </c>
      <c r="B26" s="33">
        <v>3</v>
      </c>
      <c r="C26" s="33">
        <v>3</v>
      </c>
      <c r="D26" s="33">
        <v>3</v>
      </c>
      <c r="E26" s="33">
        <v>3</v>
      </c>
      <c r="F26" s="33">
        <v>1</v>
      </c>
      <c r="G26" s="33">
        <v>1</v>
      </c>
      <c r="H26" s="33">
        <v>1</v>
      </c>
      <c r="I26" s="34">
        <v>1</v>
      </c>
    </row>
    <row r="27" spans="1:9" ht="15">
      <c r="A27" s="25" t="s">
        <v>17</v>
      </c>
      <c r="B27" s="37">
        <f t="shared" ref="B27:I27" si="2">B21+B22+B23+B24-B26</f>
        <v>70.154499349597188</v>
      </c>
      <c r="C27" s="37">
        <f t="shared" si="2"/>
        <v>70.154499349597188</v>
      </c>
      <c r="D27" s="37">
        <f t="shared" si="2"/>
        <v>70.154499349597188</v>
      </c>
      <c r="E27" s="37">
        <f t="shared" si="2"/>
        <v>70.154499349597188</v>
      </c>
      <c r="F27" s="37">
        <f t="shared" si="2"/>
        <v>22.010299956639813</v>
      </c>
      <c r="G27" s="37">
        <f t="shared" si="2"/>
        <v>22.010299956639813</v>
      </c>
      <c r="H27" s="37">
        <f t="shared" si="2"/>
        <v>22.010299956639813</v>
      </c>
      <c r="I27" s="37">
        <f t="shared" si="2"/>
        <v>22.010299956639813</v>
      </c>
    </row>
    <row r="28" spans="1:9" ht="15">
      <c r="A28" s="25" t="s">
        <v>18</v>
      </c>
      <c r="B28" s="37">
        <f t="shared" ref="B28:I28" si="3">B21+B22+B23-B25-B26</f>
        <v>70.154499349597188</v>
      </c>
      <c r="C28" s="37">
        <f t="shared" si="3"/>
        <v>70.154499349597188</v>
      </c>
      <c r="D28" s="37">
        <f t="shared" si="3"/>
        <v>70.154499349597188</v>
      </c>
      <c r="E28" s="37">
        <f t="shared" si="3"/>
        <v>70.154499349597188</v>
      </c>
      <c r="F28" s="37">
        <f t="shared" si="3"/>
        <v>22.010299956639813</v>
      </c>
      <c r="G28" s="37">
        <f t="shared" si="3"/>
        <v>22.010299956639813</v>
      </c>
      <c r="H28" s="37">
        <f t="shared" si="3"/>
        <v>22.010299956639813</v>
      </c>
      <c r="I28" s="37">
        <f t="shared" si="3"/>
        <v>22.010299956639813</v>
      </c>
    </row>
    <row r="29" spans="1:9">
      <c r="A29" s="19" t="s">
        <v>19</v>
      </c>
      <c r="B29" s="32"/>
      <c r="C29" s="32"/>
      <c r="D29" s="32"/>
      <c r="E29" s="32"/>
      <c r="F29" s="32"/>
      <c r="G29" s="32"/>
      <c r="H29" s="32"/>
      <c r="I29" s="32"/>
    </row>
    <row r="30" spans="1:9" ht="30">
      <c r="A30" s="20" t="s">
        <v>175</v>
      </c>
      <c r="B30" s="33">
        <v>4</v>
      </c>
      <c r="C30" s="34">
        <v>4</v>
      </c>
      <c r="D30" s="33">
        <v>4</v>
      </c>
      <c r="E30" s="34">
        <v>4</v>
      </c>
      <c r="F30" s="33">
        <v>256</v>
      </c>
      <c r="G30" s="33">
        <v>256</v>
      </c>
      <c r="H30" s="33">
        <v>256</v>
      </c>
      <c r="I30" s="33">
        <v>256</v>
      </c>
    </row>
    <row r="31" spans="1:9" ht="15">
      <c r="A31" s="20" t="s">
        <v>204</v>
      </c>
      <c r="B31" s="33">
        <v>2</v>
      </c>
      <c r="C31" s="34">
        <v>2</v>
      </c>
      <c r="D31" s="33">
        <v>2</v>
      </c>
      <c r="E31" s="34">
        <v>2</v>
      </c>
      <c r="F31" s="33">
        <v>2</v>
      </c>
      <c r="G31" s="33">
        <v>2</v>
      </c>
      <c r="H31" s="33">
        <v>2</v>
      </c>
      <c r="I31" s="33">
        <v>2</v>
      </c>
    </row>
    <row r="32" spans="1:9" ht="15">
      <c r="A32" s="20" t="s">
        <v>20</v>
      </c>
      <c r="B32" s="33">
        <v>0</v>
      </c>
      <c r="C32" s="34">
        <v>0</v>
      </c>
      <c r="D32" s="33">
        <v>0</v>
      </c>
      <c r="E32" s="34">
        <v>0</v>
      </c>
      <c r="F32" s="34">
        <v>8</v>
      </c>
      <c r="G32" s="34">
        <v>8</v>
      </c>
      <c r="H32" s="34">
        <v>8</v>
      </c>
      <c r="I32" s="34">
        <v>8</v>
      </c>
    </row>
    <row r="33" spans="1:10" ht="28.5">
      <c r="A33" s="26" t="s">
        <v>176</v>
      </c>
      <c r="B33" s="38">
        <f t="shared" ref="B33:I33" si="4">IF(B30&gt;=2, 10*LOG10(B30/2), 0)</f>
        <v>3.0102999566398121</v>
      </c>
      <c r="C33" s="38">
        <f t="shared" si="4"/>
        <v>3.0102999566398121</v>
      </c>
      <c r="D33" s="38">
        <f t="shared" si="4"/>
        <v>3.0102999566398121</v>
      </c>
      <c r="E33" s="38">
        <f t="shared" si="4"/>
        <v>3.0102999566398121</v>
      </c>
      <c r="F33" s="38">
        <f t="shared" si="4"/>
        <v>21.072099696478684</v>
      </c>
      <c r="G33" s="38">
        <f t="shared" si="4"/>
        <v>21.072099696478684</v>
      </c>
      <c r="H33" s="38">
        <f t="shared" si="4"/>
        <v>21.072099696478684</v>
      </c>
      <c r="I33" s="38">
        <f t="shared" si="4"/>
        <v>21.072099696478684</v>
      </c>
    </row>
    <row r="34" spans="1:10" ht="30">
      <c r="A34" s="20" t="s">
        <v>21</v>
      </c>
      <c r="B34" s="33">
        <v>1</v>
      </c>
      <c r="C34" s="33">
        <v>1</v>
      </c>
      <c r="D34" s="33">
        <v>1</v>
      </c>
      <c r="E34" s="33">
        <v>1</v>
      </c>
      <c r="F34" s="33">
        <v>3</v>
      </c>
      <c r="G34" s="33">
        <v>3</v>
      </c>
      <c r="H34" s="33">
        <v>3</v>
      </c>
      <c r="I34" s="33">
        <v>3</v>
      </c>
    </row>
    <row r="35" spans="1:10" ht="15">
      <c r="A35" s="20" t="s">
        <v>22</v>
      </c>
      <c r="B35" s="34">
        <v>7</v>
      </c>
      <c r="C35" s="34">
        <v>7</v>
      </c>
      <c r="D35" s="34">
        <v>7</v>
      </c>
      <c r="E35" s="34">
        <v>7</v>
      </c>
      <c r="F35" s="34">
        <v>5</v>
      </c>
      <c r="G35" s="34">
        <v>5</v>
      </c>
      <c r="H35" s="34">
        <v>5</v>
      </c>
      <c r="I35" s="34">
        <v>5</v>
      </c>
    </row>
    <row r="36" spans="1:10" ht="15">
      <c r="A36" s="20" t="s">
        <v>23</v>
      </c>
      <c r="B36" s="34">
        <v>-174</v>
      </c>
      <c r="C36" s="34">
        <v>-174</v>
      </c>
      <c r="D36" s="34">
        <v>-174</v>
      </c>
      <c r="E36" s="34">
        <v>-174</v>
      </c>
      <c r="F36" s="33">
        <v>-174</v>
      </c>
      <c r="G36" s="34">
        <v>-174</v>
      </c>
      <c r="H36" s="33">
        <v>-174</v>
      </c>
      <c r="I36" s="34">
        <v>-174</v>
      </c>
    </row>
    <row r="37" spans="1:10" ht="30">
      <c r="A37" s="20" t="s">
        <v>24</v>
      </c>
      <c r="B37" s="33" t="s">
        <v>169</v>
      </c>
      <c r="C37" s="34">
        <v>-169.3</v>
      </c>
      <c r="D37" s="33" t="s">
        <v>169</v>
      </c>
      <c r="E37" s="34">
        <v>-169.3</v>
      </c>
      <c r="F37" s="34" t="s">
        <v>169</v>
      </c>
      <c r="G37" s="34">
        <v>-161.69999999999999</v>
      </c>
      <c r="H37" s="34" t="s">
        <v>169</v>
      </c>
      <c r="I37" s="34">
        <v>-161.69999999999999</v>
      </c>
    </row>
    <row r="38" spans="1:10" ht="15">
      <c r="A38" s="20" t="s">
        <v>25</v>
      </c>
      <c r="B38" s="33">
        <v>-169.3</v>
      </c>
      <c r="C38" s="34" t="s">
        <v>169</v>
      </c>
      <c r="D38" s="33">
        <v>-169.3</v>
      </c>
      <c r="E38" s="34" t="s">
        <v>169</v>
      </c>
      <c r="F38" s="34">
        <v>-165.7</v>
      </c>
      <c r="G38" s="34" t="s">
        <v>169</v>
      </c>
      <c r="H38" s="34">
        <v>-165.7</v>
      </c>
      <c r="I38" s="34" t="s">
        <v>169</v>
      </c>
    </row>
    <row r="39" spans="1:10" ht="45">
      <c r="A39" s="27" t="s">
        <v>45</v>
      </c>
      <c r="B39" s="37" t="s">
        <v>209</v>
      </c>
      <c r="C39" s="37">
        <f t="shared" ref="C39:I39" si="5">10*LOG10(10^((C35+C36)/10)+10^(C37/10))</f>
        <v>-164.98918835931039</v>
      </c>
      <c r="D39" s="37" t="s">
        <v>209</v>
      </c>
      <c r="E39" s="37">
        <f t="shared" si="5"/>
        <v>-164.98918835931039</v>
      </c>
      <c r="F39" s="37" t="s">
        <v>209</v>
      </c>
      <c r="G39" s="37">
        <f t="shared" si="5"/>
        <v>-160.9583889004532</v>
      </c>
      <c r="H39" s="37" t="s">
        <v>209</v>
      </c>
      <c r="I39" s="37">
        <f t="shared" si="5"/>
        <v>-160.9583889004532</v>
      </c>
    </row>
    <row r="40" spans="1:10" ht="45">
      <c r="A40" s="27" t="s">
        <v>46</v>
      </c>
      <c r="B40" s="37">
        <f t="shared" ref="B40:H40" si="6">10*LOG10(10^((B35+B36)/10)+10^(B38/10))</f>
        <v>-164.98918835931039</v>
      </c>
      <c r="C40" s="37" t="s">
        <v>209</v>
      </c>
      <c r="D40" s="37">
        <f t="shared" si="6"/>
        <v>-164.98918835931039</v>
      </c>
      <c r="E40" s="37" t="s">
        <v>209</v>
      </c>
      <c r="F40" s="37">
        <f t="shared" si="6"/>
        <v>-164.03352307536667</v>
      </c>
      <c r="G40" s="37" t="s">
        <v>209</v>
      </c>
      <c r="H40" s="37">
        <f t="shared" si="6"/>
        <v>-164.03352307536667</v>
      </c>
      <c r="I40" s="37" t="s">
        <v>209</v>
      </c>
    </row>
    <row r="41" spans="1:10" ht="30">
      <c r="A41" s="20" t="s">
        <v>26</v>
      </c>
      <c r="B41" s="33" t="s">
        <v>169</v>
      </c>
      <c r="C41" s="33">
        <f>MaxN_RB!$F$6*12*15*1000</f>
        <v>19080000</v>
      </c>
      <c r="D41" s="33" t="s">
        <v>169</v>
      </c>
      <c r="E41" s="33">
        <f>MaxN_RB!$F$6*12*15*1000</f>
        <v>19080000</v>
      </c>
      <c r="F41" s="34" t="s">
        <v>169</v>
      </c>
      <c r="G41" s="34">
        <f>1*12*30*1000</f>
        <v>360000</v>
      </c>
      <c r="H41" s="34" t="s">
        <v>169</v>
      </c>
      <c r="I41" s="34">
        <f>1*12*30*1000</f>
        <v>360000</v>
      </c>
    </row>
    <row r="42" spans="1:10" ht="30">
      <c r="A42" s="20" t="s">
        <v>27</v>
      </c>
      <c r="B42" s="33">
        <f>MaxN_RB!$F$7*12*30*1000</f>
        <v>18360000</v>
      </c>
      <c r="C42" s="34" t="s">
        <v>169</v>
      </c>
      <c r="D42" s="33">
        <f>MaxN_RB!$F$7*12*30*1000</f>
        <v>18360000</v>
      </c>
      <c r="E42" s="34" t="s">
        <v>169</v>
      </c>
      <c r="F42" s="34">
        <f>4*12*30*1000</f>
        <v>1440000</v>
      </c>
      <c r="G42" s="34" t="s">
        <v>169</v>
      </c>
      <c r="H42" s="34">
        <f>4*12*30*1000</f>
        <v>1440000</v>
      </c>
      <c r="I42" s="34" t="s">
        <v>169</v>
      </c>
    </row>
    <row r="43" spans="1:10" ht="15">
      <c r="A43" s="25" t="s">
        <v>28</v>
      </c>
      <c r="B43" s="37" t="s">
        <v>209</v>
      </c>
      <c r="C43" s="37">
        <f t="shared" ref="B43:I44" si="7">C39+10*LOG10(C41)</f>
        <v>-92.18340465562963</v>
      </c>
      <c r="D43" s="37" t="s">
        <v>209</v>
      </c>
      <c r="E43" s="37">
        <f t="shared" si="7"/>
        <v>-92.18340465562963</v>
      </c>
      <c r="F43" s="37" t="s">
        <v>209</v>
      </c>
      <c r="G43" s="37">
        <f t="shared" si="7"/>
        <v>-105.39536389278032</v>
      </c>
      <c r="H43" s="37" t="s">
        <v>209</v>
      </c>
      <c r="I43" s="37">
        <f t="shared" si="7"/>
        <v>-105.39536389278032</v>
      </c>
    </row>
    <row r="44" spans="1:10" ht="15">
      <c r="A44" s="25" t="s">
        <v>29</v>
      </c>
      <c r="B44" s="37">
        <f t="shared" si="7"/>
        <v>-92.350461590658156</v>
      </c>
      <c r="C44" s="37" t="s">
        <v>209</v>
      </c>
      <c r="D44" s="37">
        <f t="shared" si="7"/>
        <v>-92.350461590658156</v>
      </c>
      <c r="E44" s="37" t="s">
        <v>209</v>
      </c>
      <c r="F44" s="37">
        <f t="shared" si="7"/>
        <v>-102.44989815441417</v>
      </c>
      <c r="G44" s="37" t="s">
        <v>209</v>
      </c>
      <c r="H44" s="37">
        <f t="shared" si="7"/>
        <v>-102.44989815441417</v>
      </c>
      <c r="I44" s="37" t="s">
        <v>209</v>
      </c>
    </row>
    <row r="45" spans="1:10" ht="15">
      <c r="A45" s="20" t="s">
        <v>30</v>
      </c>
      <c r="B45" s="33" t="s">
        <v>169</v>
      </c>
      <c r="C45" s="70">
        <v>-5.7</v>
      </c>
      <c r="D45" s="70" t="s">
        <v>169</v>
      </c>
      <c r="E45" s="70">
        <v>-5.9</v>
      </c>
      <c r="F45" s="33" t="s">
        <v>169</v>
      </c>
      <c r="G45" s="70">
        <v>-5.6</v>
      </c>
      <c r="H45" s="70" t="s">
        <v>169</v>
      </c>
      <c r="I45" s="70">
        <v>-6.7</v>
      </c>
      <c r="J45" s="78"/>
    </row>
    <row r="46" spans="1:10" ht="15">
      <c r="A46" s="20" t="s">
        <v>31</v>
      </c>
      <c r="B46" s="33">
        <v>3.2</v>
      </c>
      <c r="C46" s="33" t="s">
        <v>169</v>
      </c>
      <c r="D46" s="33">
        <v>-0.1</v>
      </c>
      <c r="E46" s="33" t="s">
        <v>169</v>
      </c>
      <c r="F46" s="70">
        <v>2.29</v>
      </c>
      <c r="G46" s="33" t="s">
        <v>169</v>
      </c>
      <c r="H46" s="70">
        <v>1.23</v>
      </c>
      <c r="I46" s="33" t="s">
        <v>169</v>
      </c>
      <c r="J46" s="78"/>
    </row>
    <row r="47" spans="1:10" ht="15">
      <c r="A47" s="20" t="s">
        <v>32</v>
      </c>
      <c r="B47" s="33">
        <v>2</v>
      </c>
      <c r="C47" s="34">
        <v>2</v>
      </c>
      <c r="D47" s="33">
        <v>2</v>
      </c>
      <c r="E47" s="34">
        <v>2</v>
      </c>
      <c r="F47" s="34">
        <v>2</v>
      </c>
      <c r="G47" s="34">
        <v>2</v>
      </c>
      <c r="H47" s="34">
        <v>2</v>
      </c>
      <c r="I47" s="34">
        <v>2</v>
      </c>
    </row>
    <row r="48" spans="1:10" ht="15">
      <c r="A48" s="20" t="s">
        <v>33</v>
      </c>
      <c r="B48" s="33" t="s">
        <v>169</v>
      </c>
      <c r="C48" s="34">
        <v>0</v>
      </c>
      <c r="D48" s="33" t="s">
        <v>169</v>
      </c>
      <c r="E48" s="34">
        <v>0</v>
      </c>
      <c r="F48" s="34" t="s">
        <v>169</v>
      </c>
      <c r="G48" s="34">
        <v>0</v>
      </c>
      <c r="H48" s="34" t="s">
        <v>169</v>
      </c>
      <c r="I48" s="34">
        <v>0</v>
      </c>
    </row>
    <row r="49" spans="1:11" ht="15">
      <c r="A49" s="20" t="s">
        <v>34</v>
      </c>
      <c r="B49" s="33">
        <v>0.5</v>
      </c>
      <c r="C49" s="34" t="s">
        <v>169</v>
      </c>
      <c r="D49" s="33">
        <v>0.5</v>
      </c>
      <c r="E49" s="34" t="s">
        <v>169</v>
      </c>
      <c r="F49" s="34">
        <v>0.5</v>
      </c>
      <c r="G49" s="34" t="s">
        <v>169</v>
      </c>
      <c r="H49" s="34">
        <v>0.5</v>
      </c>
      <c r="I49" s="34" t="s">
        <v>169</v>
      </c>
    </row>
    <row r="50" spans="1:11" ht="30">
      <c r="A50" s="27" t="s">
        <v>47</v>
      </c>
      <c r="B50" s="37" t="s">
        <v>209</v>
      </c>
      <c r="C50" s="37">
        <f t="shared" ref="C50:I50" si="8">C43+C45+C47-C48</f>
        <v>-95.883404655629633</v>
      </c>
      <c r="D50" s="37" t="s">
        <v>209</v>
      </c>
      <c r="E50" s="37">
        <f t="shared" si="8"/>
        <v>-96.083404655629636</v>
      </c>
      <c r="F50" s="37" t="s">
        <v>209</v>
      </c>
      <c r="G50" s="37">
        <f t="shared" si="8"/>
        <v>-108.99536389278032</v>
      </c>
      <c r="H50" s="37" t="s">
        <v>209</v>
      </c>
      <c r="I50" s="37">
        <f t="shared" si="8"/>
        <v>-110.09536389278033</v>
      </c>
    </row>
    <row r="51" spans="1:11" ht="30">
      <c r="A51" s="27" t="s">
        <v>177</v>
      </c>
      <c r="B51" s="37">
        <f t="shared" ref="B51:H51" si="9">B44+B46+B47-B49</f>
        <v>-87.650461590658153</v>
      </c>
      <c r="C51" s="37" t="s">
        <v>209</v>
      </c>
      <c r="D51" s="37">
        <f t="shared" si="9"/>
        <v>-90.950461590658151</v>
      </c>
      <c r="E51" s="37" t="s">
        <v>209</v>
      </c>
      <c r="F51" s="37">
        <f t="shared" si="9"/>
        <v>-98.659898154414165</v>
      </c>
      <c r="G51" s="37" t="s">
        <v>209</v>
      </c>
      <c r="H51" s="37">
        <f t="shared" si="9"/>
        <v>-99.719898154414167</v>
      </c>
      <c r="I51" s="37" t="s">
        <v>209</v>
      </c>
    </row>
    <row r="52" spans="1:11" ht="30">
      <c r="A52" s="27" t="s">
        <v>178</v>
      </c>
      <c r="B52" s="37" t="s">
        <v>209</v>
      </c>
      <c r="C52" s="37">
        <f t="shared" ref="C52:I52" si="10">C27+C32+C33-C50</f>
        <v>169.04820396186665</v>
      </c>
      <c r="D52" s="37" t="s">
        <v>209</v>
      </c>
      <c r="E52" s="37">
        <f t="shared" si="10"/>
        <v>169.24820396186664</v>
      </c>
      <c r="F52" s="37" t="s">
        <v>209</v>
      </c>
      <c r="G52" s="37">
        <f t="shared" si="10"/>
        <v>160.07776354589882</v>
      </c>
      <c r="H52" s="37" t="s">
        <v>209</v>
      </c>
      <c r="I52" s="37">
        <f t="shared" si="10"/>
        <v>161.17776354589881</v>
      </c>
    </row>
    <row r="53" spans="1:11" ht="30">
      <c r="A53" s="27" t="s">
        <v>179</v>
      </c>
      <c r="B53" s="37">
        <f t="shared" ref="B53:H53" si="11">B28+B32+B33-B51</f>
        <v>160.81526089689515</v>
      </c>
      <c r="C53" s="37" t="s">
        <v>209</v>
      </c>
      <c r="D53" s="37">
        <f t="shared" si="11"/>
        <v>164.11526089689517</v>
      </c>
      <c r="E53" s="37" t="s">
        <v>209</v>
      </c>
      <c r="F53" s="37">
        <f t="shared" si="11"/>
        <v>149.74229780753268</v>
      </c>
      <c r="G53" s="37" t="s">
        <v>209</v>
      </c>
      <c r="H53" s="37">
        <f t="shared" si="11"/>
        <v>150.80229780753268</v>
      </c>
      <c r="I53" s="37" t="s">
        <v>209</v>
      </c>
      <c r="K53" s="14"/>
    </row>
    <row r="54" spans="1:11">
      <c r="A54" s="19" t="s">
        <v>35</v>
      </c>
      <c r="B54" s="32"/>
      <c r="C54" s="32"/>
      <c r="D54" s="32"/>
      <c r="E54" s="32"/>
      <c r="F54" s="32"/>
      <c r="G54" s="32"/>
      <c r="H54" s="32"/>
      <c r="I54" s="32"/>
    </row>
    <row r="55" spans="1:11" ht="15">
      <c r="A55" s="20" t="s">
        <v>36</v>
      </c>
      <c r="B55" s="34">
        <v>6</v>
      </c>
      <c r="C55" s="34">
        <v>6</v>
      </c>
      <c r="D55" s="34">
        <v>6</v>
      </c>
      <c r="E55" s="34">
        <v>6</v>
      </c>
      <c r="F55" s="34">
        <v>6</v>
      </c>
      <c r="G55" s="34">
        <v>6</v>
      </c>
      <c r="H55" s="34">
        <v>6</v>
      </c>
      <c r="I55" s="34">
        <v>6</v>
      </c>
    </row>
    <row r="56" spans="1:11" ht="30">
      <c r="A56" s="20" t="s">
        <v>37</v>
      </c>
      <c r="B56" s="33" t="s">
        <v>169</v>
      </c>
      <c r="C56" s="34">
        <v>8.07</v>
      </c>
      <c r="D56" s="33" t="s">
        <v>169</v>
      </c>
      <c r="E56" s="34">
        <v>9.0399999999999991</v>
      </c>
      <c r="F56" s="33" t="s">
        <v>169</v>
      </c>
      <c r="G56" s="34">
        <v>8.07</v>
      </c>
      <c r="H56" s="33" t="s">
        <v>169</v>
      </c>
      <c r="I56" s="34">
        <v>9.0399999999999991</v>
      </c>
    </row>
    <row r="57" spans="1:11" ht="30">
      <c r="A57" s="20" t="s">
        <v>38</v>
      </c>
      <c r="B57" s="33">
        <v>4.8499999999999996</v>
      </c>
      <c r="C57" s="34" t="s">
        <v>169</v>
      </c>
      <c r="D57" s="33">
        <v>5.6</v>
      </c>
      <c r="E57" s="34" t="s">
        <v>169</v>
      </c>
      <c r="F57" s="33">
        <v>4.8499999999999996</v>
      </c>
      <c r="G57" s="34" t="s">
        <v>169</v>
      </c>
      <c r="H57" s="33">
        <v>5.6</v>
      </c>
      <c r="I57" s="34" t="s">
        <v>169</v>
      </c>
    </row>
    <row r="58" spans="1:11" ht="15">
      <c r="A58" s="20" t="s">
        <v>39</v>
      </c>
      <c r="B58" s="34">
        <v>0</v>
      </c>
      <c r="C58" s="34">
        <v>0</v>
      </c>
      <c r="D58" s="34">
        <v>0</v>
      </c>
      <c r="E58" s="34">
        <v>0</v>
      </c>
      <c r="F58" s="34">
        <v>0</v>
      </c>
      <c r="G58" s="34">
        <v>0</v>
      </c>
      <c r="H58" s="34">
        <v>0</v>
      </c>
      <c r="I58" s="34">
        <v>0</v>
      </c>
    </row>
    <row r="59" spans="1:11" ht="15">
      <c r="A59" s="20" t="s">
        <v>40</v>
      </c>
      <c r="B59" s="33">
        <v>9</v>
      </c>
      <c r="C59" s="33">
        <v>9</v>
      </c>
      <c r="D59" s="33">
        <v>17.98</v>
      </c>
      <c r="E59" s="33">
        <v>17.98</v>
      </c>
      <c r="F59" s="33">
        <v>9</v>
      </c>
      <c r="G59" s="33">
        <v>9</v>
      </c>
      <c r="H59" s="33">
        <v>17.98</v>
      </c>
      <c r="I59" s="33">
        <v>17.98</v>
      </c>
    </row>
    <row r="60" spans="1:11" ht="15">
      <c r="A60" s="20" t="s">
        <v>41</v>
      </c>
      <c r="B60" s="34">
        <v>0</v>
      </c>
      <c r="C60" s="34">
        <v>0</v>
      </c>
      <c r="D60" s="34">
        <v>0</v>
      </c>
      <c r="E60" s="34">
        <v>0</v>
      </c>
      <c r="F60" s="34">
        <v>0</v>
      </c>
      <c r="G60" s="34">
        <v>0</v>
      </c>
      <c r="H60" s="34">
        <v>0</v>
      </c>
      <c r="I60" s="34">
        <v>0</v>
      </c>
    </row>
    <row r="61" spans="1:11" ht="30">
      <c r="A61" s="27" t="s">
        <v>180</v>
      </c>
      <c r="B61" s="37" t="s">
        <v>209</v>
      </c>
      <c r="C61" s="37">
        <f>C52-C56+C58-C59+C60-C34</f>
        <v>150.97820396186665</v>
      </c>
      <c r="D61" s="37" t="s">
        <v>209</v>
      </c>
      <c r="E61" s="37">
        <f>E52-E56+E58-E59+E60-E34</f>
        <v>141.22820396186665</v>
      </c>
      <c r="F61" s="37" t="s">
        <v>209</v>
      </c>
      <c r="G61" s="37">
        <f>G52-G56+G58-G59+G60-G34</f>
        <v>140.00776354589883</v>
      </c>
      <c r="H61" s="37" t="s">
        <v>209</v>
      </c>
      <c r="I61" s="37">
        <f>I52-I56+I58-I59+I60-I34</f>
        <v>131.15776354589883</v>
      </c>
    </row>
    <row r="62" spans="1:11" ht="30">
      <c r="A62" s="27" t="s">
        <v>49</v>
      </c>
      <c r="B62" s="37">
        <f>B53-B57+B58-B59+B60-B34</f>
        <v>145.96526089689516</v>
      </c>
      <c r="C62" s="37" t="s">
        <v>209</v>
      </c>
      <c r="D62" s="37">
        <f>D53-D57+D58-D59+D60-D34</f>
        <v>139.53526089689518</v>
      </c>
      <c r="E62" s="37" t="s">
        <v>209</v>
      </c>
      <c r="F62" s="37">
        <f>F53-F57+F58-F59+F60-F34</f>
        <v>132.89229780753269</v>
      </c>
      <c r="G62" s="37" t="s">
        <v>209</v>
      </c>
      <c r="H62" s="37">
        <f>H53-H57+H58-H59+H60-H34</f>
        <v>124.22229780753268</v>
      </c>
      <c r="I62" s="37" t="s">
        <v>209</v>
      </c>
    </row>
    <row r="63" spans="1:11">
      <c r="A63" s="19" t="s">
        <v>42</v>
      </c>
      <c r="B63" s="32"/>
      <c r="C63" s="32"/>
      <c r="D63" s="32"/>
      <c r="E63" s="32"/>
      <c r="F63" s="32"/>
      <c r="G63" s="32"/>
      <c r="H63" s="32"/>
      <c r="I63" s="32"/>
    </row>
    <row r="64" spans="1:11" ht="30">
      <c r="A64" s="29" t="s">
        <v>43</v>
      </c>
      <c r="B64" s="34" t="s">
        <v>105</v>
      </c>
      <c r="C64" s="34">
        <f>10^((C61-13.54-20*LOG10(C$4)+0.6*(C$6-1.5))/39.08)</f>
        <v>1617.0587425144106</v>
      </c>
      <c r="D64" s="34" t="s">
        <v>105</v>
      </c>
      <c r="E64" s="34">
        <f>10^((E61-13.54-20*LOG10(E$4)+0.6*(E$6-1.5))/39.08)</f>
        <v>910.41114885273919</v>
      </c>
      <c r="F64" s="34" t="s">
        <v>105</v>
      </c>
      <c r="G64" s="34">
        <f>10^((G61-13.54-20*LOG10(G$4)+0.6*(G$6-1.5))/39.08)</f>
        <v>847.24357386393353</v>
      </c>
      <c r="H64" s="34" t="s">
        <v>105</v>
      </c>
      <c r="I64" s="34">
        <f>10^((I61-13.54-20*LOG10(I$4)+0.6*(I$6-1.5))/39.08)</f>
        <v>502.97886546247508</v>
      </c>
    </row>
    <row r="65" spans="1:11" ht="30">
      <c r="A65" s="29" t="s">
        <v>44</v>
      </c>
      <c r="B65" s="34">
        <f>10^((B62-13.54-20*LOG10(B$4)+0.6*(B$6-1.5))/39.08)</f>
        <v>1203.5161458048462</v>
      </c>
      <c r="C65" s="34" t="s">
        <v>105</v>
      </c>
      <c r="D65" s="34">
        <f>10^((D62-13.54-20*LOG10(D$4)+0.6*(D$6-1.5))/39.08)</f>
        <v>823.98182492432409</v>
      </c>
      <c r="E65" s="34" t="s">
        <v>105</v>
      </c>
      <c r="F65" s="34">
        <f>10^((F62-13.54-20*LOG10(F$4)+0.6*(F$6-1.5))/39.08)</f>
        <v>557.10098959760546</v>
      </c>
      <c r="G65" s="34" t="s">
        <v>105</v>
      </c>
      <c r="H65" s="34">
        <f>10^((H62-13.54-20*LOG10(H$4)+0.6*(H$6-1.5))/39.08)</f>
        <v>334.25762255190176</v>
      </c>
      <c r="I65" s="34" t="s">
        <v>105</v>
      </c>
      <c r="K65" s="15"/>
    </row>
    <row r="66" spans="1:11" ht="18">
      <c r="A66" s="29" t="s">
        <v>120</v>
      </c>
      <c r="B66" s="34" t="s">
        <v>211</v>
      </c>
      <c r="C66" s="34">
        <f>PI()*(C64)^2</f>
        <v>8214884.5833599633</v>
      </c>
      <c r="D66" s="34" t="s">
        <v>169</v>
      </c>
      <c r="E66" s="34">
        <f>PI()*(E64)^2</f>
        <v>2603904.232734987</v>
      </c>
      <c r="F66" s="34" t="s">
        <v>169</v>
      </c>
      <c r="G66" s="34">
        <f>PI()*(G64)^2</f>
        <v>2255103.2959097717</v>
      </c>
      <c r="H66" s="34" t="s">
        <v>169</v>
      </c>
      <c r="I66" s="34">
        <f>PI()*(I64)^2</f>
        <v>794784.42261087883</v>
      </c>
    </row>
    <row r="67" spans="1:11" ht="18">
      <c r="A67" s="29" t="s">
        <v>121</v>
      </c>
      <c r="B67" s="34">
        <f>PI()*(B65)^2</f>
        <v>4550443.3763537677</v>
      </c>
      <c r="C67" s="34" t="s">
        <v>169</v>
      </c>
      <c r="D67" s="34">
        <f>PI()*(D65)^2</f>
        <v>2132971.9159699585</v>
      </c>
      <c r="E67" s="34" t="s">
        <v>169</v>
      </c>
      <c r="F67" s="34">
        <f>PI()*(F65)^2</f>
        <v>975029.44797457522</v>
      </c>
      <c r="G67" s="34" t="s">
        <v>169</v>
      </c>
      <c r="H67" s="34">
        <f>PI()*(H65)^2</f>
        <v>351004.36110720824</v>
      </c>
      <c r="I67" s="34" t="s">
        <v>169</v>
      </c>
    </row>
    <row r="72" spans="1:11" s="16" customFormat="1" ht="15">
      <c r="A72" s="43"/>
      <c r="B72" s="44"/>
      <c r="C72" s="44"/>
      <c r="D72" s="44"/>
      <c r="E72" s="44"/>
      <c r="F72" s="45"/>
      <c r="G72" s="45"/>
      <c r="H72" s="45"/>
      <c r="I72" s="45"/>
    </row>
  </sheetData>
  <mergeCells count="2">
    <mergeCell ref="B1:E1"/>
    <mergeCell ref="F1:I1"/>
  </mergeCells>
  <phoneticPr fontId="1" type="noConversion"/>
  <dataValidations count="1">
    <dataValidation type="list" allowBlank="1" showInputMessage="1" showErrorMessage="1" sqref="F34:I34 B26:E26">
      <formula1>"0,3"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70" zoomScaleNormal="70" workbookViewId="0">
      <pane xSplit="1" ySplit="2" topLeftCell="B51" activePane="bottomRight" state="frozen"/>
      <selection pane="topRight" activeCell="B1" sqref="B1"/>
      <selection pane="bottomLeft" activeCell="A3" sqref="A3"/>
      <selection pane="bottomRight" activeCell="C74" sqref="C74"/>
    </sheetView>
  </sheetViews>
  <sheetFormatPr defaultRowHeight="14.25"/>
  <cols>
    <col min="1" max="1" width="69" style="30" customWidth="1"/>
    <col min="2" max="2" width="22.75" style="39" bestFit="1" customWidth="1"/>
    <col min="3" max="3" width="18.375" style="39" bestFit="1" customWidth="1"/>
    <col min="4" max="4" width="18.25" style="39" customWidth="1"/>
    <col min="5" max="5" width="18.75" style="39" customWidth="1"/>
    <col min="6" max="6" width="18.25" style="40" customWidth="1"/>
    <col min="7" max="7" width="18.625" style="40" customWidth="1"/>
    <col min="8" max="8" width="20" style="40" customWidth="1"/>
    <col min="9" max="9" width="18.375" style="40" customWidth="1"/>
  </cols>
  <sheetData>
    <row r="1" spans="1:9">
      <c r="A1" s="46" t="s">
        <v>221</v>
      </c>
      <c r="B1" s="96" t="s">
        <v>212</v>
      </c>
      <c r="C1" s="96"/>
      <c r="D1" s="96"/>
      <c r="E1" s="97"/>
      <c r="F1" s="99" t="s">
        <v>213</v>
      </c>
      <c r="G1" s="99"/>
      <c r="H1" s="99"/>
      <c r="I1" s="99"/>
    </row>
    <row r="2" spans="1:9" ht="28.5">
      <c r="A2" s="17"/>
      <c r="B2" s="31" t="s">
        <v>51</v>
      </c>
      <c r="C2" s="31" t="s">
        <v>57</v>
      </c>
      <c r="D2" s="31" t="s">
        <v>55</v>
      </c>
      <c r="E2" s="31" t="s">
        <v>56</v>
      </c>
      <c r="F2" s="31" t="s">
        <v>58</v>
      </c>
      <c r="G2" s="31" t="s">
        <v>59</v>
      </c>
      <c r="H2" s="31" t="s">
        <v>60</v>
      </c>
      <c r="I2" s="31" t="s">
        <v>61</v>
      </c>
    </row>
    <row r="3" spans="1:9">
      <c r="A3" s="19" t="s">
        <v>1</v>
      </c>
      <c r="B3" s="49"/>
      <c r="C3" s="49"/>
      <c r="D3" s="49"/>
      <c r="E3" s="49"/>
      <c r="F3" s="49"/>
      <c r="G3" s="49"/>
      <c r="H3" s="49"/>
      <c r="I3" s="49"/>
    </row>
    <row r="4" spans="1:9" ht="15">
      <c r="A4" s="20" t="s">
        <v>2</v>
      </c>
      <c r="B4" s="35">
        <v>0.7</v>
      </c>
      <c r="C4" s="50">
        <v>0.7</v>
      </c>
      <c r="D4" s="35">
        <v>0.7</v>
      </c>
      <c r="E4" s="50">
        <v>0.7</v>
      </c>
      <c r="F4" s="35">
        <v>0.7</v>
      </c>
      <c r="G4" s="50">
        <v>0.7</v>
      </c>
      <c r="H4" s="35">
        <v>0.7</v>
      </c>
      <c r="I4" s="50">
        <v>0.7</v>
      </c>
    </row>
    <row r="5" spans="1:9" ht="15">
      <c r="A5" s="20" t="s">
        <v>3</v>
      </c>
      <c r="B5" s="50">
        <v>35</v>
      </c>
      <c r="C5" s="50">
        <v>35</v>
      </c>
      <c r="D5" s="50">
        <v>35</v>
      </c>
      <c r="E5" s="50">
        <v>35</v>
      </c>
      <c r="F5" s="50">
        <v>35</v>
      </c>
      <c r="G5" s="50">
        <v>35</v>
      </c>
      <c r="H5" s="50">
        <v>35</v>
      </c>
      <c r="I5" s="50">
        <v>35</v>
      </c>
    </row>
    <row r="6" spans="1:9" ht="15">
      <c r="A6" s="20" t="s">
        <v>4</v>
      </c>
      <c r="B6" s="35">
        <v>1.5</v>
      </c>
      <c r="C6" s="50">
        <v>1.5</v>
      </c>
      <c r="D6" s="35">
        <v>1.5</v>
      </c>
      <c r="E6" s="50">
        <v>1.5</v>
      </c>
      <c r="F6" s="35">
        <v>1.5</v>
      </c>
      <c r="G6" s="50">
        <v>1.5</v>
      </c>
      <c r="H6" s="35">
        <v>1.5</v>
      </c>
      <c r="I6" s="50">
        <v>1.5</v>
      </c>
    </row>
    <row r="7" spans="1:9" ht="31.5">
      <c r="A7" s="20" t="s">
        <v>109</v>
      </c>
      <c r="B7" s="21" t="s">
        <v>161</v>
      </c>
      <c r="C7" s="47">
        <v>0.95</v>
      </c>
      <c r="D7" s="21" t="s">
        <v>161</v>
      </c>
      <c r="E7" s="47">
        <v>0.95</v>
      </c>
      <c r="F7" s="47" t="s">
        <v>161</v>
      </c>
      <c r="G7" s="22">
        <v>0.95</v>
      </c>
      <c r="H7" s="47" t="s">
        <v>161</v>
      </c>
      <c r="I7" s="22">
        <v>0.95</v>
      </c>
    </row>
    <row r="8" spans="1:9" ht="31.5">
      <c r="A8" s="20" t="s">
        <v>110</v>
      </c>
      <c r="B8" s="21">
        <v>0.9</v>
      </c>
      <c r="C8" s="47" t="s">
        <v>161</v>
      </c>
      <c r="D8" s="21">
        <v>0.9</v>
      </c>
      <c r="E8" s="47" t="s">
        <v>161</v>
      </c>
      <c r="F8" s="47">
        <v>0.9</v>
      </c>
      <c r="G8" s="22" t="s">
        <v>161</v>
      </c>
      <c r="H8" s="47">
        <v>0.9</v>
      </c>
      <c r="I8" s="22" t="s">
        <v>161</v>
      </c>
    </row>
    <row r="9" spans="1:9" ht="15">
      <c r="A9" s="20" t="s">
        <v>5</v>
      </c>
      <c r="B9" s="33" t="s">
        <v>161</v>
      </c>
      <c r="C9" s="34">
        <f>64/(0.001)</f>
        <v>64000</v>
      </c>
      <c r="D9" s="33" t="s">
        <v>161</v>
      </c>
      <c r="E9" s="34">
        <f>64/(0.001)</f>
        <v>64000</v>
      </c>
      <c r="F9" s="50" t="s">
        <v>161</v>
      </c>
      <c r="G9" s="34">
        <f>2/(0.001)</f>
        <v>2000</v>
      </c>
      <c r="H9" s="50" t="s">
        <v>161</v>
      </c>
      <c r="I9" s="34">
        <f>2/(0.001)</f>
        <v>2000</v>
      </c>
    </row>
    <row r="10" spans="1:9" ht="30" customHeight="1">
      <c r="A10" s="20" t="s">
        <v>6</v>
      </c>
      <c r="B10" s="33">
        <f>1994400*3</f>
        <v>5983200</v>
      </c>
      <c r="C10" s="50" t="s">
        <v>161</v>
      </c>
      <c r="D10" s="33">
        <f>1994400*3</f>
        <v>5983200</v>
      </c>
      <c r="E10" s="50" t="s">
        <v>161</v>
      </c>
      <c r="F10" s="50">
        <f>187200*3</f>
        <v>561600</v>
      </c>
      <c r="G10" s="34" t="s">
        <v>161</v>
      </c>
      <c r="H10" s="50">
        <f>187200*3</f>
        <v>561600</v>
      </c>
      <c r="I10" s="34" t="s">
        <v>161</v>
      </c>
    </row>
    <row r="11" spans="1:9" ht="15">
      <c r="A11" s="20" t="s">
        <v>7</v>
      </c>
      <c r="B11" s="21" t="s">
        <v>161</v>
      </c>
      <c r="C11" s="47">
        <v>0.01</v>
      </c>
      <c r="D11" s="21" t="s">
        <v>161</v>
      </c>
      <c r="E11" s="47">
        <v>0.01</v>
      </c>
      <c r="F11" s="47" t="s">
        <v>161</v>
      </c>
      <c r="G11" s="22">
        <v>0.01</v>
      </c>
      <c r="H11" s="47" t="s">
        <v>161</v>
      </c>
      <c r="I11" s="22">
        <v>0.01</v>
      </c>
    </row>
    <row r="12" spans="1:9" ht="15">
      <c r="A12" s="20" t="s">
        <v>8</v>
      </c>
      <c r="B12" s="21">
        <v>0.1</v>
      </c>
      <c r="C12" s="47" t="s">
        <v>161</v>
      </c>
      <c r="D12" s="21">
        <v>0.1</v>
      </c>
      <c r="E12" s="47" t="s">
        <v>161</v>
      </c>
      <c r="F12" s="47">
        <v>0.1</v>
      </c>
      <c r="G12" s="22" t="s">
        <v>161</v>
      </c>
      <c r="H12" s="47">
        <v>0.1</v>
      </c>
      <c r="I12" s="22" t="s">
        <v>161</v>
      </c>
    </row>
    <row r="13" spans="1:9" ht="16.5">
      <c r="A13" s="20" t="s">
        <v>111</v>
      </c>
      <c r="B13" s="33">
        <f>B10/B42</f>
        <v>0.63923076923076927</v>
      </c>
      <c r="C13" s="50" t="s">
        <v>161</v>
      </c>
      <c r="D13" s="33">
        <f>D10/D42</f>
        <v>0.63923076923076927</v>
      </c>
      <c r="E13" s="50" t="s">
        <v>161</v>
      </c>
      <c r="F13" s="33">
        <f>F10/F42</f>
        <v>0.78</v>
      </c>
      <c r="G13" s="34" t="s">
        <v>161</v>
      </c>
      <c r="H13" s="33">
        <f>H10/H42</f>
        <v>0.78</v>
      </c>
      <c r="I13" s="34" t="s">
        <v>161</v>
      </c>
    </row>
    <row r="14" spans="1:9" ht="16.5">
      <c r="A14" s="20" t="s">
        <v>112</v>
      </c>
      <c r="B14" s="50" t="s">
        <v>162</v>
      </c>
      <c r="C14" s="50" t="s">
        <v>162</v>
      </c>
      <c r="D14" s="50" t="s">
        <v>163</v>
      </c>
      <c r="E14" s="50" t="s">
        <v>163</v>
      </c>
      <c r="F14" s="50" t="s">
        <v>162</v>
      </c>
      <c r="G14" s="50" t="s">
        <v>162</v>
      </c>
      <c r="H14" s="50" t="s">
        <v>163</v>
      </c>
      <c r="I14" s="50" t="s">
        <v>163</v>
      </c>
    </row>
    <row r="15" spans="1:9" ht="15">
      <c r="A15" s="20" t="s">
        <v>125</v>
      </c>
      <c r="B15" s="33">
        <v>120</v>
      </c>
      <c r="C15" s="34">
        <v>120</v>
      </c>
      <c r="D15" s="33">
        <v>3</v>
      </c>
      <c r="E15" s="34">
        <v>3</v>
      </c>
      <c r="F15" s="33">
        <v>120</v>
      </c>
      <c r="G15" s="34">
        <v>120</v>
      </c>
      <c r="H15" s="34">
        <v>3</v>
      </c>
      <c r="I15" s="34">
        <v>3</v>
      </c>
    </row>
    <row r="16" spans="1:9" ht="15">
      <c r="A16" s="20" t="s">
        <v>9</v>
      </c>
      <c r="B16" s="33">
        <v>3</v>
      </c>
      <c r="C16" s="50">
        <v>3</v>
      </c>
      <c r="D16" s="33">
        <v>3</v>
      </c>
      <c r="E16" s="50">
        <v>3</v>
      </c>
      <c r="F16" s="50">
        <v>3</v>
      </c>
      <c r="G16" s="34">
        <v>3</v>
      </c>
      <c r="H16" s="50">
        <v>3</v>
      </c>
      <c r="I16" s="34">
        <v>3</v>
      </c>
    </row>
    <row r="17" spans="1:9">
      <c r="A17" s="19" t="s">
        <v>10</v>
      </c>
      <c r="B17" s="49"/>
      <c r="C17" s="49"/>
      <c r="D17" s="49"/>
      <c r="E17" s="49"/>
      <c r="F17" s="49"/>
      <c r="G17" s="49"/>
      <c r="H17" s="49"/>
      <c r="I17" s="49"/>
    </row>
    <row r="18" spans="1:9" ht="30">
      <c r="A18" s="20" t="s">
        <v>126</v>
      </c>
      <c r="B18" s="33">
        <v>64</v>
      </c>
      <c r="C18" s="50">
        <v>64</v>
      </c>
      <c r="D18" s="33">
        <v>64</v>
      </c>
      <c r="E18" s="50">
        <v>64</v>
      </c>
      <c r="F18" s="34">
        <v>1</v>
      </c>
      <c r="G18" s="50">
        <v>1</v>
      </c>
      <c r="H18" s="34">
        <v>1</v>
      </c>
      <c r="I18" s="50">
        <v>1</v>
      </c>
    </row>
    <row r="19" spans="1:9" ht="15">
      <c r="A19" s="20" t="s">
        <v>199</v>
      </c>
      <c r="B19" s="33">
        <v>2</v>
      </c>
      <c r="C19" s="50">
        <v>2</v>
      </c>
      <c r="D19" s="33">
        <v>2</v>
      </c>
      <c r="E19" s="50">
        <v>2</v>
      </c>
      <c r="F19" s="34">
        <v>1</v>
      </c>
      <c r="G19" s="50">
        <v>1</v>
      </c>
      <c r="H19" s="34">
        <v>1</v>
      </c>
      <c r="I19" s="50">
        <v>1</v>
      </c>
    </row>
    <row r="20" spans="1:9" ht="15">
      <c r="A20" s="20" t="s">
        <v>11</v>
      </c>
      <c r="B20" s="33">
        <v>28</v>
      </c>
      <c r="C20" s="50">
        <v>28</v>
      </c>
      <c r="D20" s="33">
        <v>28</v>
      </c>
      <c r="E20" s="50">
        <v>28</v>
      </c>
      <c r="F20" s="34">
        <v>23</v>
      </c>
      <c r="G20" s="50">
        <v>23</v>
      </c>
      <c r="H20" s="34">
        <v>23</v>
      </c>
      <c r="I20" s="50">
        <v>23</v>
      </c>
    </row>
    <row r="21" spans="1:9" ht="30">
      <c r="A21" s="41" t="s">
        <v>127</v>
      </c>
      <c r="B21" s="38">
        <f t="shared" ref="B21:I21" si="0">B20+10*LOG10(B18)</f>
        <v>46.061799739838875</v>
      </c>
      <c r="C21" s="38">
        <f t="shared" si="0"/>
        <v>46.061799739838875</v>
      </c>
      <c r="D21" s="38">
        <f t="shared" si="0"/>
        <v>46.061799739838875</v>
      </c>
      <c r="E21" s="38">
        <f t="shared" si="0"/>
        <v>46.061799739838875</v>
      </c>
      <c r="F21" s="38">
        <f t="shared" si="0"/>
        <v>23</v>
      </c>
      <c r="G21" s="38">
        <f t="shared" si="0"/>
        <v>23</v>
      </c>
      <c r="H21" s="38">
        <f t="shared" si="0"/>
        <v>23</v>
      </c>
      <c r="I21" s="38">
        <f t="shared" si="0"/>
        <v>23</v>
      </c>
    </row>
    <row r="22" spans="1:9" ht="45" customHeight="1">
      <c r="A22" s="20" t="s">
        <v>12</v>
      </c>
      <c r="B22" s="33">
        <v>8</v>
      </c>
      <c r="C22" s="50">
        <v>8</v>
      </c>
      <c r="D22" s="33">
        <v>8</v>
      </c>
      <c r="E22" s="50">
        <v>8</v>
      </c>
      <c r="F22" s="34">
        <v>0</v>
      </c>
      <c r="G22" s="50">
        <v>0</v>
      </c>
      <c r="H22" s="34">
        <v>0</v>
      </c>
      <c r="I22" s="50">
        <v>0</v>
      </c>
    </row>
    <row r="23" spans="1:9" ht="30">
      <c r="A23" s="42" t="s">
        <v>13</v>
      </c>
      <c r="B23" s="38">
        <f t="shared" ref="B23:I23" si="1">IF(B18&gt;=2, 10*LOG10(B18/2), 0)</f>
        <v>15.051499783199061</v>
      </c>
      <c r="C23" s="38">
        <f t="shared" si="1"/>
        <v>15.051499783199061</v>
      </c>
      <c r="D23" s="38">
        <f t="shared" si="1"/>
        <v>15.051499783199061</v>
      </c>
      <c r="E23" s="38">
        <f t="shared" si="1"/>
        <v>15.051499783199061</v>
      </c>
      <c r="F23" s="38">
        <f t="shared" si="1"/>
        <v>0</v>
      </c>
      <c r="G23" s="38">
        <f t="shared" si="1"/>
        <v>0</v>
      </c>
      <c r="H23" s="38">
        <f t="shared" si="1"/>
        <v>0</v>
      </c>
      <c r="I23" s="38">
        <f t="shared" si="1"/>
        <v>0</v>
      </c>
    </row>
    <row r="24" spans="1:9" ht="15">
      <c r="A24" s="20" t="s">
        <v>14</v>
      </c>
      <c r="B24" s="33">
        <v>0</v>
      </c>
      <c r="C24" s="34">
        <v>0</v>
      </c>
      <c r="D24" s="33">
        <v>0</v>
      </c>
      <c r="E24" s="34">
        <v>0</v>
      </c>
      <c r="F24" s="34">
        <v>0</v>
      </c>
      <c r="G24" s="34">
        <v>0</v>
      </c>
      <c r="H24" s="34">
        <v>0</v>
      </c>
      <c r="I24" s="34">
        <v>0</v>
      </c>
    </row>
    <row r="25" spans="1:9" ht="15">
      <c r="A25" s="20" t="s">
        <v>15</v>
      </c>
      <c r="B25" s="33">
        <v>0</v>
      </c>
      <c r="C25" s="34">
        <v>0</v>
      </c>
      <c r="D25" s="33">
        <v>0</v>
      </c>
      <c r="E25" s="34">
        <v>0</v>
      </c>
      <c r="F25" s="34">
        <v>0</v>
      </c>
      <c r="G25" s="34">
        <v>0</v>
      </c>
      <c r="H25" s="34">
        <v>0</v>
      </c>
      <c r="I25" s="34">
        <v>0</v>
      </c>
    </row>
    <row r="26" spans="1:9" ht="30">
      <c r="A26" s="20" t="s">
        <v>16</v>
      </c>
      <c r="B26" s="33">
        <v>3</v>
      </c>
      <c r="C26" s="34">
        <v>3</v>
      </c>
      <c r="D26" s="33">
        <v>3</v>
      </c>
      <c r="E26" s="34">
        <v>3</v>
      </c>
      <c r="F26" s="34">
        <v>1</v>
      </c>
      <c r="G26" s="34">
        <v>1</v>
      </c>
      <c r="H26" s="34">
        <v>1</v>
      </c>
      <c r="I26" s="34">
        <v>1</v>
      </c>
    </row>
    <row r="27" spans="1:9" ht="15">
      <c r="A27" s="25" t="s">
        <v>17</v>
      </c>
      <c r="B27" s="37">
        <f t="shared" ref="B27:I27" si="2">B21+B22+B23+B24-B26</f>
        <v>66.113299523037938</v>
      </c>
      <c r="C27" s="37">
        <f t="shared" si="2"/>
        <v>66.113299523037938</v>
      </c>
      <c r="D27" s="37">
        <f t="shared" si="2"/>
        <v>66.113299523037938</v>
      </c>
      <c r="E27" s="37">
        <f t="shared" si="2"/>
        <v>66.113299523037938</v>
      </c>
      <c r="F27" s="37">
        <f t="shared" si="2"/>
        <v>22</v>
      </c>
      <c r="G27" s="37">
        <f t="shared" si="2"/>
        <v>22</v>
      </c>
      <c r="H27" s="37">
        <f t="shared" si="2"/>
        <v>22</v>
      </c>
      <c r="I27" s="37">
        <f t="shared" si="2"/>
        <v>22</v>
      </c>
    </row>
    <row r="28" spans="1:9" ht="15">
      <c r="A28" s="25" t="s">
        <v>18</v>
      </c>
      <c r="B28" s="37">
        <f t="shared" ref="B28:I28" si="3">B21+B22+B23-B25-B26</f>
        <v>66.113299523037938</v>
      </c>
      <c r="C28" s="37">
        <f t="shared" si="3"/>
        <v>66.113299523037938</v>
      </c>
      <c r="D28" s="37">
        <f t="shared" si="3"/>
        <v>66.113299523037938</v>
      </c>
      <c r="E28" s="37">
        <f t="shared" si="3"/>
        <v>66.113299523037938</v>
      </c>
      <c r="F28" s="37">
        <f t="shared" si="3"/>
        <v>22</v>
      </c>
      <c r="G28" s="37">
        <f t="shared" si="3"/>
        <v>22</v>
      </c>
      <c r="H28" s="37">
        <f t="shared" si="3"/>
        <v>22</v>
      </c>
      <c r="I28" s="37">
        <f t="shared" si="3"/>
        <v>22</v>
      </c>
    </row>
    <row r="29" spans="1:9">
      <c r="A29" s="19" t="s">
        <v>19</v>
      </c>
      <c r="B29" s="49"/>
      <c r="C29" s="49"/>
      <c r="D29" s="49"/>
      <c r="E29" s="49"/>
      <c r="F29" s="49"/>
      <c r="G29" s="49"/>
      <c r="H29" s="49"/>
      <c r="I29" s="49"/>
    </row>
    <row r="30" spans="1:9" ht="30">
      <c r="A30" s="20" t="s">
        <v>128</v>
      </c>
      <c r="B30" s="33">
        <v>2</v>
      </c>
      <c r="C30" s="50">
        <v>2</v>
      </c>
      <c r="D30" s="33">
        <v>2</v>
      </c>
      <c r="E30" s="50">
        <v>2</v>
      </c>
      <c r="F30" s="50">
        <v>64</v>
      </c>
      <c r="G30" s="50">
        <v>64</v>
      </c>
      <c r="H30" s="50">
        <v>64</v>
      </c>
      <c r="I30" s="50">
        <v>64</v>
      </c>
    </row>
    <row r="31" spans="1:9" ht="15">
      <c r="A31" s="20" t="s">
        <v>205</v>
      </c>
      <c r="B31" s="33">
        <v>2</v>
      </c>
      <c r="C31" s="50">
        <v>2</v>
      </c>
      <c r="D31" s="33">
        <v>2</v>
      </c>
      <c r="E31" s="50">
        <v>2</v>
      </c>
      <c r="F31" s="50">
        <v>2</v>
      </c>
      <c r="G31" s="50">
        <v>2</v>
      </c>
      <c r="H31" s="50">
        <v>2</v>
      </c>
      <c r="I31" s="50">
        <v>2</v>
      </c>
    </row>
    <row r="32" spans="1:9" ht="15">
      <c r="A32" s="20" t="s">
        <v>20</v>
      </c>
      <c r="B32" s="33">
        <v>0</v>
      </c>
      <c r="C32" s="50">
        <v>0</v>
      </c>
      <c r="D32" s="33">
        <v>0</v>
      </c>
      <c r="E32" s="50">
        <v>0</v>
      </c>
      <c r="F32" s="50">
        <v>8</v>
      </c>
      <c r="G32" s="50">
        <v>8</v>
      </c>
      <c r="H32" s="50">
        <v>8</v>
      </c>
      <c r="I32" s="50">
        <v>8</v>
      </c>
    </row>
    <row r="33" spans="1:9" ht="28.5">
      <c r="A33" s="26" t="s">
        <v>98</v>
      </c>
      <c r="B33" s="38">
        <f t="shared" ref="B33:I33" si="4">IF(B30&gt;=2, 10*LOG10(B30/2), 0)</f>
        <v>0</v>
      </c>
      <c r="C33" s="38">
        <f t="shared" si="4"/>
        <v>0</v>
      </c>
      <c r="D33" s="38">
        <f t="shared" si="4"/>
        <v>0</v>
      </c>
      <c r="E33" s="38">
        <f t="shared" si="4"/>
        <v>0</v>
      </c>
      <c r="F33" s="38">
        <f t="shared" si="4"/>
        <v>15.051499783199061</v>
      </c>
      <c r="G33" s="38">
        <f t="shared" si="4"/>
        <v>15.051499783199061</v>
      </c>
      <c r="H33" s="38">
        <f t="shared" si="4"/>
        <v>15.051499783199061</v>
      </c>
      <c r="I33" s="38">
        <f t="shared" si="4"/>
        <v>15.051499783199061</v>
      </c>
    </row>
    <row r="34" spans="1:9" ht="30">
      <c r="A34" s="20" t="s">
        <v>21</v>
      </c>
      <c r="B34" s="33">
        <v>1</v>
      </c>
      <c r="C34" s="50">
        <v>1</v>
      </c>
      <c r="D34" s="33">
        <v>1</v>
      </c>
      <c r="E34" s="50">
        <v>1</v>
      </c>
      <c r="F34" s="34">
        <v>3</v>
      </c>
      <c r="G34" s="50">
        <v>3</v>
      </c>
      <c r="H34" s="34">
        <v>3</v>
      </c>
      <c r="I34" s="50">
        <v>3</v>
      </c>
    </row>
    <row r="35" spans="1:9" ht="15">
      <c r="A35" s="20" t="s">
        <v>22</v>
      </c>
      <c r="B35" s="34">
        <v>7</v>
      </c>
      <c r="C35" s="34">
        <v>7</v>
      </c>
      <c r="D35" s="34">
        <v>7</v>
      </c>
      <c r="E35" s="34">
        <v>7</v>
      </c>
      <c r="F35" s="34">
        <v>5</v>
      </c>
      <c r="G35" s="34">
        <v>5</v>
      </c>
      <c r="H35" s="34">
        <v>5</v>
      </c>
      <c r="I35" s="34">
        <v>5</v>
      </c>
    </row>
    <row r="36" spans="1:9" ht="15">
      <c r="A36" s="20" t="s">
        <v>23</v>
      </c>
      <c r="B36" s="34">
        <v>-174</v>
      </c>
      <c r="C36" s="34">
        <v>-174</v>
      </c>
      <c r="D36" s="34">
        <v>-174</v>
      </c>
      <c r="E36" s="34">
        <v>-174</v>
      </c>
      <c r="F36" s="33">
        <v>-174</v>
      </c>
      <c r="G36" s="34">
        <v>-174</v>
      </c>
      <c r="H36" s="33">
        <v>-174</v>
      </c>
      <c r="I36" s="34">
        <v>-174</v>
      </c>
    </row>
    <row r="37" spans="1:9" ht="30">
      <c r="A37" s="20" t="s">
        <v>24</v>
      </c>
      <c r="B37" s="33" t="s">
        <v>161</v>
      </c>
      <c r="C37" s="34">
        <v>-169.3</v>
      </c>
      <c r="D37" s="33" t="s">
        <v>161</v>
      </c>
      <c r="E37" s="34">
        <v>-169.3</v>
      </c>
      <c r="F37" s="34" t="s">
        <v>161</v>
      </c>
      <c r="G37" s="34">
        <v>-161.69999999999999</v>
      </c>
      <c r="H37" s="34" t="s">
        <v>161</v>
      </c>
      <c r="I37" s="34">
        <v>-161.69999999999999</v>
      </c>
    </row>
    <row r="38" spans="1:9" ht="15">
      <c r="A38" s="20" t="s">
        <v>25</v>
      </c>
      <c r="B38" s="33">
        <v>-169.3</v>
      </c>
      <c r="C38" s="34" t="s">
        <v>161</v>
      </c>
      <c r="D38" s="33">
        <v>-169.3</v>
      </c>
      <c r="E38" s="34" t="s">
        <v>161</v>
      </c>
      <c r="F38" s="34">
        <v>-165.7</v>
      </c>
      <c r="G38" s="34" t="s">
        <v>161</v>
      </c>
      <c r="H38" s="34">
        <v>-165.7</v>
      </c>
      <c r="I38" s="34" t="s">
        <v>161</v>
      </c>
    </row>
    <row r="39" spans="1:9" ht="30">
      <c r="A39" s="27" t="s">
        <v>45</v>
      </c>
      <c r="B39" s="37" t="s">
        <v>210</v>
      </c>
      <c r="C39" s="37">
        <f t="shared" ref="C39:I39" si="5">10*LOG10(10^((C35+C36)/10)+10^(C37/10))</f>
        <v>-164.98918835931039</v>
      </c>
      <c r="D39" s="37" t="s">
        <v>210</v>
      </c>
      <c r="E39" s="37">
        <f t="shared" si="5"/>
        <v>-164.98918835931039</v>
      </c>
      <c r="F39" s="37" t="s">
        <v>210</v>
      </c>
      <c r="G39" s="37">
        <f t="shared" si="5"/>
        <v>-160.9583889004532</v>
      </c>
      <c r="H39" s="37" t="s">
        <v>210</v>
      </c>
      <c r="I39" s="37">
        <f t="shared" si="5"/>
        <v>-160.9583889004532</v>
      </c>
    </row>
    <row r="40" spans="1:9" ht="30">
      <c r="A40" s="27" t="s">
        <v>46</v>
      </c>
      <c r="B40" s="37">
        <f t="shared" ref="B40:H40" si="6">10*LOG10(10^((B35+B36)/10)+10^(B38/10))</f>
        <v>-164.98918835931039</v>
      </c>
      <c r="C40" s="37" t="s">
        <v>210</v>
      </c>
      <c r="D40" s="37">
        <f t="shared" si="6"/>
        <v>-164.98918835931039</v>
      </c>
      <c r="E40" s="37" t="s">
        <v>210</v>
      </c>
      <c r="F40" s="37">
        <f t="shared" si="6"/>
        <v>-164.03352307536667</v>
      </c>
      <c r="G40" s="37" t="s">
        <v>210</v>
      </c>
      <c r="H40" s="37">
        <f t="shared" si="6"/>
        <v>-164.03352307536667</v>
      </c>
      <c r="I40" s="37" t="s">
        <v>210</v>
      </c>
    </row>
    <row r="41" spans="1:9" ht="30">
      <c r="A41" s="20" t="s">
        <v>26</v>
      </c>
      <c r="B41" s="33" t="s">
        <v>161</v>
      </c>
      <c r="C41" s="33">
        <f>MaxN_RB!$D$6*12*15*1000</f>
        <v>9360000</v>
      </c>
      <c r="D41" s="33" t="s">
        <v>161</v>
      </c>
      <c r="E41" s="33">
        <f>MaxN_RB!$D$6*12*15*1000</f>
        <v>9360000</v>
      </c>
      <c r="F41" s="50" t="s">
        <v>161</v>
      </c>
      <c r="G41" s="34">
        <f>1*12*15*1000</f>
        <v>180000</v>
      </c>
      <c r="H41" s="50" t="s">
        <v>161</v>
      </c>
      <c r="I41" s="34">
        <f>1*12*15*1000</f>
        <v>180000</v>
      </c>
    </row>
    <row r="42" spans="1:9" ht="30">
      <c r="A42" s="20" t="s">
        <v>27</v>
      </c>
      <c r="B42" s="33">
        <f>MaxN_RB!$D$6*12*15*1000</f>
        <v>9360000</v>
      </c>
      <c r="C42" s="50" t="s">
        <v>161</v>
      </c>
      <c r="D42" s="33">
        <f>MaxN_RB!$D$6*12*15*1000</f>
        <v>9360000</v>
      </c>
      <c r="E42" s="50" t="s">
        <v>161</v>
      </c>
      <c r="F42" s="33">
        <f>4*12*15*1000</f>
        <v>720000</v>
      </c>
      <c r="G42" s="34" t="s">
        <v>161</v>
      </c>
      <c r="H42" s="33">
        <f>4*12*15*1000</f>
        <v>720000</v>
      </c>
      <c r="I42" s="34" t="s">
        <v>161</v>
      </c>
    </row>
    <row r="43" spans="1:9" ht="15">
      <c r="A43" s="25" t="s">
        <v>28</v>
      </c>
      <c r="B43" s="37" t="s">
        <v>210</v>
      </c>
      <c r="C43" s="37">
        <f t="shared" ref="B43:I44" si="7">C39+10*LOG10(C41)</f>
        <v>-95.276429871929338</v>
      </c>
      <c r="D43" s="37" t="s">
        <v>210</v>
      </c>
      <c r="E43" s="37">
        <f t="shared" si="7"/>
        <v>-95.276429871929338</v>
      </c>
      <c r="F43" s="37" t="s">
        <v>210</v>
      </c>
      <c r="G43" s="37">
        <f t="shared" si="7"/>
        <v>-108.40566384942014</v>
      </c>
      <c r="H43" s="37" t="s">
        <v>210</v>
      </c>
      <c r="I43" s="37">
        <f t="shared" si="7"/>
        <v>-108.40566384942014</v>
      </c>
    </row>
    <row r="44" spans="1:9" ht="15">
      <c r="A44" s="25" t="s">
        <v>29</v>
      </c>
      <c r="B44" s="37">
        <f t="shared" si="7"/>
        <v>-95.276429871929338</v>
      </c>
      <c r="C44" s="37" t="s">
        <v>210</v>
      </c>
      <c r="D44" s="37">
        <f t="shared" si="7"/>
        <v>-95.276429871929338</v>
      </c>
      <c r="E44" s="37" t="s">
        <v>210</v>
      </c>
      <c r="F44" s="37">
        <f t="shared" si="7"/>
        <v>-105.46019811105398</v>
      </c>
      <c r="G44" s="37" t="s">
        <v>210</v>
      </c>
      <c r="H44" s="37">
        <f t="shared" si="7"/>
        <v>-105.46019811105398</v>
      </c>
      <c r="I44" s="37" t="s">
        <v>210</v>
      </c>
    </row>
    <row r="45" spans="1:9" ht="15">
      <c r="A45" s="20" t="s">
        <v>30</v>
      </c>
      <c r="B45" s="33" t="s">
        <v>161</v>
      </c>
      <c r="C45" s="34">
        <v>-7.4</v>
      </c>
      <c r="D45" s="33" t="s">
        <v>161</v>
      </c>
      <c r="E45" s="34">
        <v>-7.5</v>
      </c>
      <c r="F45" s="33" t="s">
        <v>161</v>
      </c>
      <c r="G45" s="71">
        <v>-6.3</v>
      </c>
      <c r="H45" s="70" t="s">
        <v>161</v>
      </c>
      <c r="I45" s="34">
        <v>-6.3</v>
      </c>
    </row>
    <row r="46" spans="1:9" ht="15">
      <c r="A46" s="20" t="s">
        <v>31</v>
      </c>
      <c r="B46" s="34">
        <v>4.0999999999999996</v>
      </c>
      <c r="C46" s="34" t="s">
        <v>161</v>
      </c>
      <c r="D46" s="34">
        <v>1.4</v>
      </c>
      <c r="E46" s="34" t="s">
        <v>161</v>
      </c>
      <c r="F46" s="34">
        <v>7.3</v>
      </c>
      <c r="G46" s="34" t="s">
        <v>161</v>
      </c>
      <c r="H46" s="34">
        <v>4.7</v>
      </c>
      <c r="I46" s="34" t="s">
        <v>161</v>
      </c>
    </row>
    <row r="47" spans="1:9" ht="15">
      <c r="A47" s="20" t="s">
        <v>32</v>
      </c>
      <c r="B47" s="33">
        <v>2</v>
      </c>
      <c r="C47" s="34">
        <v>2</v>
      </c>
      <c r="D47" s="33">
        <v>2</v>
      </c>
      <c r="E47" s="34">
        <v>2</v>
      </c>
      <c r="F47" s="50">
        <v>2</v>
      </c>
      <c r="G47" s="34">
        <v>2</v>
      </c>
      <c r="H47" s="50">
        <v>2</v>
      </c>
      <c r="I47" s="34">
        <v>2</v>
      </c>
    </row>
    <row r="48" spans="1:9" ht="15">
      <c r="A48" s="20" t="s">
        <v>33</v>
      </c>
      <c r="B48" s="33" t="s">
        <v>161</v>
      </c>
      <c r="C48" s="34">
        <v>0</v>
      </c>
      <c r="D48" s="33" t="s">
        <v>161</v>
      </c>
      <c r="E48" s="34">
        <v>0</v>
      </c>
      <c r="F48" s="50" t="s">
        <v>161</v>
      </c>
      <c r="G48" s="34">
        <v>0</v>
      </c>
      <c r="H48" s="50" t="s">
        <v>161</v>
      </c>
      <c r="I48" s="34">
        <v>0</v>
      </c>
    </row>
    <row r="49" spans="1:9" ht="15">
      <c r="A49" s="20" t="s">
        <v>34</v>
      </c>
      <c r="B49" s="33">
        <v>0.5</v>
      </c>
      <c r="C49" s="34" t="s">
        <v>161</v>
      </c>
      <c r="D49" s="33">
        <v>0.5</v>
      </c>
      <c r="E49" s="34" t="s">
        <v>161</v>
      </c>
      <c r="F49" s="50">
        <v>0.5</v>
      </c>
      <c r="G49" s="34" t="s">
        <v>161</v>
      </c>
      <c r="H49" s="50">
        <v>0.5</v>
      </c>
      <c r="I49" s="34" t="s">
        <v>161</v>
      </c>
    </row>
    <row r="50" spans="1:9" ht="15">
      <c r="A50" s="27" t="s">
        <v>47</v>
      </c>
      <c r="B50" s="37" t="s">
        <v>210</v>
      </c>
      <c r="C50" s="37">
        <f t="shared" ref="C50:I50" si="8">C43+C45+C47-C48</f>
        <v>-100.67642987192934</v>
      </c>
      <c r="D50" s="37" t="s">
        <v>210</v>
      </c>
      <c r="E50" s="37">
        <f t="shared" si="8"/>
        <v>-100.77642987192934</v>
      </c>
      <c r="F50" s="37" t="s">
        <v>210</v>
      </c>
      <c r="G50" s="37">
        <f t="shared" si="8"/>
        <v>-112.70566384942013</v>
      </c>
      <c r="H50" s="37" t="s">
        <v>210</v>
      </c>
      <c r="I50" s="37">
        <f t="shared" si="8"/>
        <v>-112.70566384942013</v>
      </c>
    </row>
    <row r="51" spans="1:9" ht="15">
      <c r="A51" s="27" t="s">
        <v>48</v>
      </c>
      <c r="B51" s="37">
        <f>B44+B46+B47-B49</f>
        <v>-89.676429871929344</v>
      </c>
      <c r="C51" s="37" t="s">
        <v>210</v>
      </c>
      <c r="D51" s="37">
        <f t="shared" ref="D51:H51" si="9">D44+D46+D47-D49</f>
        <v>-92.376429871929332</v>
      </c>
      <c r="E51" s="37" t="s">
        <v>210</v>
      </c>
      <c r="F51" s="37">
        <f t="shared" si="9"/>
        <v>-96.660198111053987</v>
      </c>
      <c r="G51" s="37" t="s">
        <v>210</v>
      </c>
      <c r="H51" s="37">
        <f t="shared" si="9"/>
        <v>-99.260198111053981</v>
      </c>
      <c r="I51" s="37" t="s">
        <v>210</v>
      </c>
    </row>
    <row r="52" spans="1:9" ht="15">
      <c r="A52" s="27" t="s">
        <v>129</v>
      </c>
      <c r="B52" s="37" t="s">
        <v>210</v>
      </c>
      <c r="C52" s="37">
        <f t="shared" ref="C52:I52" si="10">C27+C32+C33-C50</f>
        <v>166.78972939496728</v>
      </c>
      <c r="D52" s="37" t="s">
        <v>210</v>
      </c>
      <c r="E52" s="37">
        <f t="shared" si="10"/>
        <v>166.88972939496728</v>
      </c>
      <c r="F52" s="37" t="s">
        <v>210</v>
      </c>
      <c r="G52" s="37">
        <f t="shared" si="10"/>
        <v>157.75716363261921</v>
      </c>
      <c r="H52" s="37" t="s">
        <v>210</v>
      </c>
      <c r="I52" s="37">
        <f t="shared" si="10"/>
        <v>157.75716363261921</v>
      </c>
    </row>
    <row r="53" spans="1:9" ht="15">
      <c r="A53" s="27" t="s">
        <v>118</v>
      </c>
      <c r="B53" s="37">
        <f t="shared" ref="B53:H53" si="11">B28+B32+B33-B51</f>
        <v>155.78972939496728</v>
      </c>
      <c r="C53" s="37" t="s">
        <v>210</v>
      </c>
      <c r="D53" s="37">
        <f t="shared" si="11"/>
        <v>158.48972939496727</v>
      </c>
      <c r="E53" s="37" t="s">
        <v>210</v>
      </c>
      <c r="F53" s="37">
        <f t="shared" si="11"/>
        <v>141.71169789425306</v>
      </c>
      <c r="G53" s="37" t="s">
        <v>210</v>
      </c>
      <c r="H53" s="37">
        <f t="shared" si="11"/>
        <v>144.31169789425303</v>
      </c>
      <c r="I53" s="37" t="s">
        <v>210</v>
      </c>
    </row>
    <row r="54" spans="1:9">
      <c r="A54" s="19" t="s">
        <v>35</v>
      </c>
      <c r="B54" s="49"/>
      <c r="C54" s="49"/>
      <c r="D54" s="49"/>
      <c r="E54" s="49"/>
      <c r="F54" s="49"/>
      <c r="G54" s="49"/>
      <c r="H54" s="49"/>
      <c r="I54" s="49"/>
    </row>
    <row r="55" spans="1:9" ht="15">
      <c r="A55" s="20" t="s">
        <v>36</v>
      </c>
      <c r="B55" s="50">
        <v>8</v>
      </c>
      <c r="C55" s="50">
        <v>8</v>
      </c>
      <c r="D55" s="50">
        <v>8</v>
      </c>
      <c r="E55" s="50">
        <v>8</v>
      </c>
      <c r="F55" s="50">
        <v>8</v>
      </c>
      <c r="G55" s="50">
        <v>8</v>
      </c>
      <c r="H55" s="50">
        <v>8</v>
      </c>
      <c r="I55" s="50">
        <v>8</v>
      </c>
    </row>
    <row r="56" spans="1:9" ht="30">
      <c r="A56" s="20" t="s">
        <v>37</v>
      </c>
      <c r="B56" s="50" t="s">
        <v>161</v>
      </c>
      <c r="C56" s="50">
        <v>10.45</v>
      </c>
      <c r="D56" s="50" t="s">
        <v>107</v>
      </c>
      <c r="E56" s="50">
        <v>10</v>
      </c>
      <c r="F56" s="50" t="s">
        <v>161</v>
      </c>
      <c r="G56" s="50">
        <v>10.45</v>
      </c>
      <c r="H56" s="50" t="s">
        <v>106</v>
      </c>
      <c r="I56" s="50">
        <v>10</v>
      </c>
    </row>
    <row r="57" spans="1:9" ht="30">
      <c r="A57" s="20" t="s">
        <v>38</v>
      </c>
      <c r="B57" s="50">
        <v>6.61</v>
      </c>
      <c r="C57" s="50" t="s">
        <v>161</v>
      </c>
      <c r="D57" s="50">
        <v>6.3</v>
      </c>
      <c r="E57" s="50" t="s">
        <v>107</v>
      </c>
      <c r="F57" s="50">
        <v>6.61</v>
      </c>
      <c r="G57" s="50" t="s">
        <v>161</v>
      </c>
      <c r="H57" s="50">
        <v>6.3</v>
      </c>
      <c r="I57" s="50" t="s">
        <v>106</v>
      </c>
    </row>
    <row r="58" spans="1:9" ht="15">
      <c r="A58" s="20" t="s">
        <v>39</v>
      </c>
      <c r="B58" s="50">
        <v>0</v>
      </c>
      <c r="C58" s="50">
        <v>0</v>
      </c>
      <c r="D58" s="50">
        <v>0</v>
      </c>
      <c r="E58" s="50">
        <v>0</v>
      </c>
      <c r="F58" s="50">
        <v>0</v>
      </c>
      <c r="G58" s="50">
        <v>0</v>
      </c>
      <c r="H58" s="50">
        <v>0</v>
      </c>
      <c r="I58" s="50">
        <v>0</v>
      </c>
    </row>
    <row r="59" spans="1:9" ht="15">
      <c r="A59" s="20" t="s">
        <v>40</v>
      </c>
      <c r="B59" s="33">
        <f>9</f>
        <v>9</v>
      </c>
      <c r="C59" s="33">
        <f>9</f>
        <v>9</v>
      </c>
      <c r="D59" s="35">
        <f>10.2367+0.5*10/3</f>
        <v>11.903366666666667</v>
      </c>
      <c r="E59" s="35">
        <f>10.2367+0.5*10/3</f>
        <v>11.903366666666667</v>
      </c>
      <c r="F59" s="33">
        <f>9</f>
        <v>9</v>
      </c>
      <c r="G59" s="33">
        <f>9</f>
        <v>9</v>
      </c>
      <c r="H59" s="35">
        <f>10.2367+0.5*10/3</f>
        <v>11.903366666666667</v>
      </c>
      <c r="I59" s="35">
        <f>10.2367+0.5*10/3</f>
        <v>11.903366666666667</v>
      </c>
    </row>
    <row r="60" spans="1:9" ht="15">
      <c r="A60" s="20" t="s">
        <v>41</v>
      </c>
      <c r="B60" s="50">
        <v>0</v>
      </c>
      <c r="C60" s="50">
        <v>0</v>
      </c>
      <c r="D60" s="50">
        <v>0</v>
      </c>
      <c r="E60" s="50">
        <v>0</v>
      </c>
      <c r="F60" s="50">
        <v>0</v>
      </c>
      <c r="G60" s="50">
        <v>0</v>
      </c>
      <c r="H60" s="50">
        <v>0</v>
      </c>
      <c r="I60" s="50">
        <v>0</v>
      </c>
    </row>
    <row r="61" spans="1:9" ht="30">
      <c r="A61" s="27" t="s">
        <v>54</v>
      </c>
      <c r="B61" s="37" t="s">
        <v>210</v>
      </c>
      <c r="C61" s="37">
        <f t="shared" ref="C61:I61" si="12">C52-C56+C58-C59+C60-C34</f>
        <v>146.33972939496729</v>
      </c>
      <c r="D61" s="37" t="s">
        <v>210</v>
      </c>
      <c r="E61" s="37">
        <f t="shared" si="12"/>
        <v>143.98636272830061</v>
      </c>
      <c r="F61" s="37" t="s">
        <v>210</v>
      </c>
      <c r="G61" s="37">
        <f t="shared" si="12"/>
        <v>135.30716363261922</v>
      </c>
      <c r="H61" s="37" t="s">
        <v>210</v>
      </c>
      <c r="I61" s="37">
        <f t="shared" si="12"/>
        <v>132.85379696595254</v>
      </c>
    </row>
    <row r="62" spans="1:9" ht="30">
      <c r="A62" s="27" t="s">
        <v>49</v>
      </c>
      <c r="B62" s="37">
        <f t="shared" ref="B62:H62" si="13">B53-B57+B58-B59+B60-B34</f>
        <v>139.17972939496727</v>
      </c>
      <c r="C62" s="37" t="s">
        <v>210</v>
      </c>
      <c r="D62" s="37">
        <f t="shared" si="13"/>
        <v>139.28636272830059</v>
      </c>
      <c r="E62" s="37" t="s">
        <v>210</v>
      </c>
      <c r="F62" s="37">
        <f t="shared" si="13"/>
        <v>123.10169789425305</v>
      </c>
      <c r="G62" s="37" t="s">
        <v>210</v>
      </c>
      <c r="H62" s="37">
        <f t="shared" si="13"/>
        <v>123.10833122758635</v>
      </c>
      <c r="I62" s="37" t="s">
        <v>210</v>
      </c>
    </row>
    <row r="63" spans="1:9">
      <c r="A63" s="19" t="s">
        <v>42</v>
      </c>
      <c r="B63" s="49"/>
      <c r="C63" s="49"/>
      <c r="D63" s="49"/>
      <c r="E63" s="49"/>
      <c r="F63" s="49"/>
      <c r="G63" s="49"/>
      <c r="H63" s="49"/>
      <c r="I63" s="49"/>
    </row>
    <row r="64" spans="1:9" ht="30">
      <c r="A64" s="29" t="s">
        <v>130</v>
      </c>
      <c r="B64" s="34" t="s">
        <v>105</v>
      </c>
      <c r="C64" s="50">
        <f>10^(3+(C61-161.04+7.1*LOG10(20)-7.5*LOG10(5)+(24.37-3.7*(5/C$5)^2)*LOG10(C$5)-20*LOG10(C$4)+(3.2*(LOG10(11.75*C$6))^2-4.97))/(43.42-3.1*LOG10(C$5)))</f>
        <v>5943.6263858901375</v>
      </c>
      <c r="D64" s="34" t="s">
        <v>105</v>
      </c>
      <c r="E64" s="50">
        <f>10^(3+(E61-161.04+7.1*LOG10(20)-7.5*LOG10(5)+(24.37-3.7*(5/E$5)^2)*LOG10(E$5)-20*LOG10(E$4)+(3.2*(LOG10(11.75*E$6))^2-4.97))/(43.42-3.1*LOG10(E$5)))</f>
        <v>5165.7828431589714</v>
      </c>
      <c r="F64" s="34" t="s">
        <v>105</v>
      </c>
      <c r="G64" s="50">
        <f>10^(3+(G61-161.04+7.1*LOG10(20)-7.5*LOG10(5)+(24.37-3.7*(5/G$5)^2)*LOG10(G$5)-20*LOG10(G$4)+(3.2*(LOG10(11.75*G$6))^2-4.97))/(43.42-3.1*LOG10(G$5)))</f>
        <v>3079.5038779071147</v>
      </c>
      <c r="H64" s="34" t="s">
        <v>105</v>
      </c>
      <c r="I64" s="50">
        <f>10^(3+(I61-161.04+7.1*LOG10(20)-7.5*LOG10(5)+(24.37-3.7*(5/I$5)^2)*LOG10(I$5)-20*LOG10(I$4)+(3.2*(LOG10(11.75*I$6))^2-4.97))/(43.42-3.1*LOG10(I$5)))</f>
        <v>2660.583934058317</v>
      </c>
    </row>
    <row r="65" spans="1:9" ht="30">
      <c r="A65" s="29" t="s">
        <v>131</v>
      </c>
      <c r="B65" s="50">
        <f>10^(3+(B62-161.04+7.1*LOG10(20)-7.5*LOG10(5)+(24.37-3.7*(5/B$5)^2)*LOG10(B$5)-20*LOG10(B$4)+(3.2*(LOG10(11.75*B$6))^2-4.97))/(43.42-3.1*LOG10(B$5)))</f>
        <v>3878.9982748477769</v>
      </c>
      <c r="C65" s="34" t="s">
        <v>105</v>
      </c>
      <c r="D65" s="50">
        <f>10^(3+(D62-161.04+7.1*LOG10(20)-7.5*LOG10(5)+(24.37-3.7*(5/D$5)^2)*LOG10(D$5)-20*LOG10(D$4)+(3.2*(LOG10(11.75*D$6))^2-4.97))/(43.42-3.1*LOG10(D$5)))</f>
        <v>3903.7295352762949</v>
      </c>
      <c r="E65" s="34" t="s">
        <v>105</v>
      </c>
      <c r="F65" s="51">
        <f>10^(3+(F62-161.04+7.1*LOG10(20)-7.5*LOG10(5)+(24.37-3.7*(5/F$5)^2)*LOG10(F$5)-20*LOG10(F$4)+(3.2*(LOG10(11.75*F$6))^2-4.97))/(43.42-3.1*LOG10(F$5)))</f>
        <v>1487.8195467394987</v>
      </c>
      <c r="G65" s="34" t="s">
        <v>105</v>
      </c>
      <c r="H65" s="50">
        <f>10^(3+(H62-161.04+7.1*LOG10(20)-7.5*LOG10(5)+(24.37-3.7*(5/H$5)^2)*LOG10(H$5)-20*LOG10(H$4)+(3.2*(LOG10(11.75*H$6))^2-4.97))/(43.42-3.1*LOG10(H$5)))</f>
        <v>1488.4078764969288</v>
      </c>
      <c r="I65" s="34" t="s">
        <v>105</v>
      </c>
    </row>
    <row r="66" spans="1:9" ht="18">
      <c r="A66" s="29" t="s">
        <v>120</v>
      </c>
      <c r="B66" s="34" t="s">
        <v>68</v>
      </c>
      <c r="C66" s="34">
        <f>PI()*(C64)^2</f>
        <v>110982084.27824949</v>
      </c>
      <c r="D66" s="34" t="s">
        <v>68</v>
      </c>
      <c r="E66" s="34">
        <f>PI()*(E64)^2</f>
        <v>83834381.340162367</v>
      </c>
      <c r="F66" s="34" t="s">
        <v>68</v>
      </c>
      <c r="G66" s="34">
        <f>PI()*(G64)^2</f>
        <v>29792804.262979493</v>
      </c>
      <c r="H66" s="34" t="s">
        <v>68</v>
      </c>
      <c r="I66" s="34">
        <f>PI()*(I64)^2</f>
        <v>22238413.500239253</v>
      </c>
    </row>
    <row r="67" spans="1:9" ht="18">
      <c r="A67" s="29" t="s">
        <v>121</v>
      </c>
      <c r="B67" s="34">
        <f>PI()*(B65)^2</f>
        <v>47270374.780581504</v>
      </c>
      <c r="C67" s="34" t="s">
        <v>68</v>
      </c>
      <c r="D67" s="34">
        <f>PI()*(D65)^2</f>
        <v>47875058.067751899</v>
      </c>
      <c r="E67" s="34" t="s">
        <v>68</v>
      </c>
      <c r="F67" s="34">
        <f>PI()*(F65)^2</f>
        <v>6954251.5006335713</v>
      </c>
      <c r="G67" s="34" t="s">
        <v>68</v>
      </c>
      <c r="H67" s="34">
        <f>PI()*(H65)^2</f>
        <v>6959752.439291059</v>
      </c>
      <c r="I67" s="34" t="s">
        <v>68</v>
      </c>
    </row>
    <row r="69" spans="1:9">
      <c r="A69" s="48"/>
    </row>
    <row r="72" spans="1:9" ht="15">
      <c r="A72" s="43" t="s">
        <v>99</v>
      </c>
      <c r="B72" s="44"/>
      <c r="C72" s="44"/>
      <c r="D72" s="44"/>
      <c r="E72" s="44"/>
    </row>
    <row r="73" spans="1:9" ht="15">
      <c r="A73" s="43"/>
      <c r="B73" s="44"/>
      <c r="C73" s="44"/>
      <c r="D73" s="44"/>
      <c r="E73" s="44"/>
    </row>
    <row r="76" spans="1:9">
      <c r="F76" s="39"/>
    </row>
  </sheetData>
  <mergeCells count="2">
    <mergeCell ref="B1:E1"/>
    <mergeCell ref="F1:I1"/>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A28" zoomScale="70" zoomScaleNormal="70" workbookViewId="0">
      <selection activeCell="F42" sqref="F42"/>
    </sheetView>
  </sheetViews>
  <sheetFormatPr defaultRowHeight="14.25"/>
  <cols>
    <col min="1" max="1" width="69" style="30" customWidth="1"/>
    <col min="2" max="2" width="22.75" style="39" bestFit="1" customWidth="1"/>
    <col min="3" max="3" width="18.375" style="39" bestFit="1" customWidth="1"/>
    <col min="4" max="4" width="18.25" style="39" customWidth="1"/>
    <col min="5" max="5" width="18.75" style="39" customWidth="1"/>
    <col min="6" max="6" width="18.25" style="40" customWidth="1"/>
    <col min="7" max="7" width="18.625" style="40" customWidth="1"/>
    <col min="8" max="8" width="20" style="40" customWidth="1"/>
    <col min="9" max="9" width="18.375" style="40" customWidth="1"/>
  </cols>
  <sheetData>
    <row r="1" spans="1:9">
      <c r="A1" s="46" t="s">
        <v>0</v>
      </c>
      <c r="B1" s="96" t="s">
        <v>181</v>
      </c>
      <c r="C1" s="96"/>
      <c r="D1" s="96"/>
      <c r="E1" s="97"/>
      <c r="F1" s="99" t="s">
        <v>182</v>
      </c>
      <c r="G1" s="99"/>
      <c r="H1" s="99"/>
      <c r="I1" s="99"/>
    </row>
    <row r="2" spans="1:9" ht="28.5">
      <c r="A2" s="17"/>
      <c r="B2" s="31" t="s">
        <v>183</v>
      </c>
      <c r="C2" s="31" t="s">
        <v>184</v>
      </c>
      <c r="D2" s="31" t="s">
        <v>185</v>
      </c>
      <c r="E2" s="31" t="s">
        <v>186</v>
      </c>
      <c r="F2" s="31" t="s">
        <v>187</v>
      </c>
      <c r="G2" s="31" t="s">
        <v>188</v>
      </c>
      <c r="H2" s="31" t="s">
        <v>189</v>
      </c>
      <c r="I2" s="31" t="s">
        <v>190</v>
      </c>
    </row>
    <row r="3" spans="1:9">
      <c r="A3" s="19" t="s">
        <v>1</v>
      </c>
      <c r="B3" s="49"/>
      <c r="C3" s="49"/>
      <c r="D3" s="49"/>
      <c r="E3" s="49"/>
      <c r="F3" s="49"/>
      <c r="G3" s="49"/>
      <c r="H3" s="49"/>
      <c r="I3" s="49"/>
    </row>
    <row r="4" spans="1:9" ht="15">
      <c r="A4" s="20" t="s">
        <v>2</v>
      </c>
      <c r="B4" s="35">
        <v>0.7</v>
      </c>
      <c r="C4" s="50">
        <v>0.7</v>
      </c>
      <c r="D4" s="35">
        <v>0.7</v>
      </c>
      <c r="E4" s="50">
        <v>0.7</v>
      </c>
      <c r="F4" s="35">
        <v>0.7</v>
      </c>
      <c r="G4" s="50">
        <v>0.7</v>
      </c>
      <c r="H4" s="35">
        <v>0.7</v>
      </c>
      <c r="I4" s="50">
        <v>0.7</v>
      </c>
    </row>
    <row r="5" spans="1:9" ht="15">
      <c r="A5" s="20" t="s">
        <v>3</v>
      </c>
      <c r="B5" s="50">
        <v>35</v>
      </c>
      <c r="C5" s="50">
        <v>35</v>
      </c>
      <c r="D5" s="50">
        <v>35</v>
      </c>
      <c r="E5" s="50">
        <v>35</v>
      </c>
      <c r="F5" s="50">
        <v>35</v>
      </c>
      <c r="G5" s="50">
        <v>35</v>
      </c>
      <c r="H5" s="50">
        <v>35</v>
      </c>
      <c r="I5" s="50">
        <v>35</v>
      </c>
    </row>
    <row r="6" spans="1:9" ht="15">
      <c r="A6" s="20" t="s">
        <v>4</v>
      </c>
      <c r="B6" s="35">
        <v>1.5</v>
      </c>
      <c r="C6" s="50">
        <v>1.5</v>
      </c>
      <c r="D6" s="35">
        <v>1.5</v>
      </c>
      <c r="E6" s="50">
        <v>1.5</v>
      </c>
      <c r="F6" s="35">
        <v>1.5</v>
      </c>
      <c r="G6" s="50">
        <v>1.5</v>
      </c>
      <c r="H6" s="35">
        <v>1.5</v>
      </c>
      <c r="I6" s="50">
        <v>1.5</v>
      </c>
    </row>
    <row r="7" spans="1:9" ht="31.5">
      <c r="A7" s="20" t="s">
        <v>109</v>
      </c>
      <c r="B7" s="21" t="s">
        <v>161</v>
      </c>
      <c r="C7" s="47">
        <v>0.95</v>
      </c>
      <c r="D7" s="21" t="s">
        <v>161</v>
      </c>
      <c r="E7" s="47">
        <v>0.95</v>
      </c>
      <c r="F7" s="47" t="s">
        <v>161</v>
      </c>
      <c r="G7" s="22">
        <v>0.95</v>
      </c>
      <c r="H7" s="47" t="s">
        <v>161</v>
      </c>
      <c r="I7" s="22">
        <v>0.95</v>
      </c>
    </row>
    <row r="8" spans="1:9" ht="31.5">
      <c r="A8" s="20" t="s">
        <v>110</v>
      </c>
      <c r="B8" s="21">
        <v>0.9</v>
      </c>
      <c r="C8" s="47" t="s">
        <v>161</v>
      </c>
      <c r="D8" s="21">
        <v>0.9</v>
      </c>
      <c r="E8" s="47" t="s">
        <v>161</v>
      </c>
      <c r="F8" s="47">
        <v>0.9</v>
      </c>
      <c r="G8" s="22" t="s">
        <v>161</v>
      </c>
      <c r="H8" s="47">
        <v>0.9</v>
      </c>
      <c r="I8" s="22" t="s">
        <v>161</v>
      </c>
    </row>
    <row r="9" spans="1:9" ht="15">
      <c r="A9" s="20" t="s">
        <v>5</v>
      </c>
      <c r="B9" s="33" t="s">
        <v>161</v>
      </c>
      <c r="C9" s="34">
        <f>64/(0.001)</f>
        <v>64000</v>
      </c>
      <c r="D9" s="33" t="s">
        <v>161</v>
      </c>
      <c r="E9" s="34">
        <f>64/(0.001)</f>
        <v>64000</v>
      </c>
      <c r="F9" s="50" t="s">
        <v>161</v>
      </c>
      <c r="G9" s="34">
        <f>2/(0.5*0.001)</f>
        <v>4000</v>
      </c>
      <c r="H9" s="50" t="s">
        <v>161</v>
      </c>
      <c r="I9" s="34">
        <f>2/(0.5*0.001)</f>
        <v>4000</v>
      </c>
    </row>
    <row r="10" spans="1:9" ht="15">
      <c r="A10" s="20" t="s">
        <v>6</v>
      </c>
      <c r="B10" s="33">
        <f>2248233*3</f>
        <v>6744699</v>
      </c>
      <c r="C10" s="50" t="s">
        <v>161</v>
      </c>
      <c r="D10" s="33">
        <f>2248233*3</f>
        <v>6744699</v>
      </c>
      <c r="E10" s="50" t="s">
        <v>161</v>
      </c>
      <c r="F10" s="50">
        <f>74880*3</f>
        <v>224640</v>
      </c>
      <c r="G10" s="34" t="s">
        <v>161</v>
      </c>
      <c r="H10" s="50">
        <f>74880*3</f>
        <v>224640</v>
      </c>
      <c r="I10" s="34" t="s">
        <v>161</v>
      </c>
    </row>
    <row r="11" spans="1:9" ht="15">
      <c r="A11" s="20" t="s">
        <v>7</v>
      </c>
      <c r="B11" s="21" t="s">
        <v>161</v>
      </c>
      <c r="C11" s="47">
        <v>0.01</v>
      </c>
      <c r="D11" s="21" t="s">
        <v>161</v>
      </c>
      <c r="E11" s="47">
        <v>0.01</v>
      </c>
      <c r="F11" s="47" t="s">
        <v>161</v>
      </c>
      <c r="G11" s="22">
        <v>0.01</v>
      </c>
      <c r="H11" s="47" t="s">
        <v>161</v>
      </c>
      <c r="I11" s="22">
        <v>0.01</v>
      </c>
    </row>
    <row r="12" spans="1:9" ht="15">
      <c r="A12" s="20" t="s">
        <v>8</v>
      </c>
      <c r="B12" s="21">
        <v>0.1</v>
      </c>
      <c r="C12" s="47" t="s">
        <v>161</v>
      </c>
      <c r="D12" s="21">
        <v>0.1</v>
      </c>
      <c r="E12" s="47" t="s">
        <v>161</v>
      </c>
      <c r="F12" s="47">
        <v>0.1</v>
      </c>
      <c r="G12" s="22" t="s">
        <v>161</v>
      </c>
      <c r="H12" s="47">
        <v>0.1</v>
      </c>
      <c r="I12" s="22" t="s">
        <v>161</v>
      </c>
    </row>
    <row r="13" spans="1:9" ht="16.5">
      <c r="A13" s="20" t="s">
        <v>111</v>
      </c>
      <c r="B13" s="33">
        <f>B10/(B42*(4+2*11/14+1/14)/10)</f>
        <v>0.65101476793248958</v>
      </c>
      <c r="C13" s="50" t="s">
        <v>161</v>
      </c>
      <c r="D13" s="33">
        <f>D10/(D42*(4+2*11/14+1/14)/10)</f>
        <v>0.65101476793248958</v>
      </c>
      <c r="E13" s="50" t="s">
        <v>161</v>
      </c>
      <c r="F13" s="33">
        <f>F10/(F42*(4+2*2/14+1/14)/10)</f>
        <v>0.35803278688524592</v>
      </c>
      <c r="G13" s="34" t="s">
        <v>161</v>
      </c>
      <c r="H13" s="33">
        <f>H10/(H42*(4+2*2/14+1/14)/10)</f>
        <v>0.35803278688524592</v>
      </c>
      <c r="I13" s="34" t="s">
        <v>161</v>
      </c>
    </row>
    <row r="14" spans="1:9" ht="16.5">
      <c r="A14" s="20" t="s">
        <v>112</v>
      </c>
      <c r="B14" s="50" t="s">
        <v>162</v>
      </c>
      <c r="C14" s="50" t="s">
        <v>162</v>
      </c>
      <c r="D14" s="50" t="s">
        <v>163</v>
      </c>
      <c r="E14" s="50" t="s">
        <v>163</v>
      </c>
      <c r="F14" s="50" t="s">
        <v>162</v>
      </c>
      <c r="G14" s="50" t="s">
        <v>162</v>
      </c>
      <c r="H14" s="50" t="s">
        <v>163</v>
      </c>
      <c r="I14" s="50" t="s">
        <v>163</v>
      </c>
    </row>
    <row r="15" spans="1:9" ht="15">
      <c r="A15" s="20" t="s">
        <v>191</v>
      </c>
      <c r="B15" s="33">
        <v>120</v>
      </c>
      <c r="C15" s="34">
        <v>120</v>
      </c>
      <c r="D15" s="33">
        <v>3</v>
      </c>
      <c r="E15" s="34">
        <v>3</v>
      </c>
      <c r="F15" s="33">
        <v>120</v>
      </c>
      <c r="G15" s="34">
        <v>120</v>
      </c>
      <c r="H15" s="34">
        <v>3</v>
      </c>
      <c r="I15" s="34">
        <v>3</v>
      </c>
    </row>
    <row r="16" spans="1:9" ht="15">
      <c r="A16" s="20" t="s">
        <v>9</v>
      </c>
      <c r="B16" s="33">
        <v>3</v>
      </c>
      <c r="C16" s="50">
        <v>3</v>
      </c>
      <c r="D16" s="33">
        <v>3</v>
      </c>
      <c r="E16" s="50">
        <v>3</v>
      </c>
      <c r="F16" s="50">
        <v>3</v>
      </c>
      <c r="G16" s="34">
        <v>3</v>
      </c>
      <c r="H16" s="50">
        <v>3</v>
      </c>
      <c r="I16" s="34">
        <v>3</v>
      </c>
    </row>
    <row r="17" spans="1:9">
      <c r="A17" s="19" t="s">
        <v>10</v>
      </c>
      <c r="B17" s="49"/>
      <c r="C17" s="49"/>
      <c r="D17" s="49"/>
      <c r="E17" s="49"/>
      <c r="F17" s="49"/>
      <c r="G17" s="49"/>
      <c r="H17" s="49"/>
      <c r="I17" s="49"/>
    </row>
    <row r="18" spans="1:9" ht="30">
      <c r="A18" s="20" t="s">
        <v>192</v>
      </c>
      <c r="B18" s="33">
        <v>64</v>
      </c>
      <c r="C18" s="50">
        <v>64</v>
      </c>
      <c r="D18" s="33">
        <v>64</v>
      </c>
      <c r="E18" s="50">
        <v>64</v>
      </c>
      <c r="F18" s="34">
        <v>1</v>
      </c>
      <c r="G18" s="50">
        <v>1</v>
      </c>
      <c r="H18" s="34">
        <v>1</v>
      </c>
      <c r="I18" s="50">
        <v>1</v>
      </c>
    </row>
    <row r="19" spans="1:9" ht="15">
      <c r="A19" s="20" t="s">
        <v>139</v>
      </c>
      <c r="B19" s="33">
        <v>2</v>
      </c>
      <c r="C19" s="50">
        <v>2</v>
      </c>
      <c r="D19" s="33">
        <v>2</v>
      </c>
      <c r="E19" s="50">
        <v>2</v>
      </c>
      <c r="F19" s="34">
        <v>1</v>
      </c>
      <c r="G19" s="50">
        <v>1</v>
      </c>
      <c r="H19" s="34">
        <v>1</v>
      </c>
      <c r="I19" s="50">
        <v>1</v>
      </c>
    </row>
    <row r="20" spans="1:9" ht="15">
      <c r="A20" s="20" t="s">
        <v>11</v>
      </c>
      <c r="B20" s="33">
        <v>31</v>
      </c>
      <c r="C20" s="50">
        <v>31</v>
      </c>
      <c r="D20" s="33">
        <v>31</v>
      </c>
      <c r="E20" s="50">
        <v>31</v>
      </c>
      <c r="F20" s="34">
        <v>23</v>
      </c>
      <c r="G20" s="50">
        <v>23</v>
      </c>
      <c r="H20" s="34">
        <v>23</v>
      </c>
      <c r="I20" s="50">
        <v>23</v>
      </c>
    </row>
    <row r="21" spans="1:9" ht="30">
      <c r="A21" s="41" t="s">
        <v>193</v>
      </c>
      <c r="B21" s="38">
        <f t="shared" ref="B21:I21" si="0">B20+10*LOG10(B18)</f>
        <v>49.061799739838875</v>
      </c>
      <c r="C21" s="38">
        <f t="shared" si="0"/>
        <v>49.061799739838875</v>
      </c>
      <c r="D21" s="38">
        <f t="shared" si="0"/>
        <v>49.061799739838875</v>
      </c>
      <c r="E21" s="38">
        <f t="shared" si="0"/>
        <v>49.061799739838875</v>
      </c>
      <c r="F21" s="38">
        <f t="shared" si="0"/>
        <v>23</v>
      </c>
      <c r="G21" s="38">
        <f t="shared" si="0"/>
        <v>23</v>
      </c>
      <c r="H21" s="38">
        <f t="shared" si="0"/>
        <v>23</v>
      </c>
      <c r="I21" s="38">
        <f t="shared" si="0"/>
        <v>23</v>
      </c>
    </row>
    <row r="22" spans="1:9" ht="15">
      <c r="A22" s="20" t="s">
        <v>12</v>
      </c>
      <c r="B22" s="33">
        <v>8</v>
      </c>
      <c r="C22" s="50">
        <v>8</v>
      </c>
      <c r="D22" s="33">
        <v>8</v>
      </c>
      <c r="E22" s="50">
        <v>8</v>
      </c>
      <c r="F22" s="34">
        <v>0</v>
      </c>
      <c r="G22" s="50">
        <v>0</v>
      </c>
      <c r="H22" s="34">
        <v>0</v>
      </c>
      <c r="I22" s="50">
        <v>0</v>
      </c>
    </row>
    <row r="23" spans="1:9" ht="30">
      <c r="A23" s="42" t="s">
        <v>13</v>
      </c>
      <c r="B23" s="38">
        <f t="shared" ref="B23:I23" si="1">IF(B18&gt;=2, 10*LOG10(B18/2), 0)</f>
        <v>15.051499783199061</v>
      </c>
      <c r="C23" s="38">
        <f t="shared" si="1"/>
        <v>15.051499783199061</v>
      </c>
      <c r="D23" s="38">
        <f t="shared" si="1"/>
        <v>15.051499783199061</v>
      </c>
      <c r="E23" s="38">
        <f t="shared" si="1"/>
        <v>15.051499783199061</v>
      </c>
      <c r="F23" s="38">
        <f t="shared" si="1"/>
        <v>0</v>
      </c>
      <c r="G23" s="38">
        <f t="shared" si="1"/>
        <v>0</v>
      </c>
      <c r="H23" s="38">
        <f t="shared" si="1"/>
        <v>0</v>
      </c>
      <c r="I23" s="38">
        <f t="shared" si="1"/>
        <v>0</v>
      </c>
    </row>
    <row r="24" spans="1:9" ht="15">
      <c r="A24" s="20" t="s">
        <v>14</v>
      </c>
      <c r="B24" s="33">
        <v>0</v>
      </c>
      <c r="C24" s="34">
        <v>0</v>
      </c>
      <c r="D24" s="33">
        <v>0</v>
      </c>
      <c r="E24" s="34">
        <v>0</v>
      </c>
      <c r="F24" s="34">
        <v>0</v>
      </c>
      <c r="G24" s="34">
        <v>0</v>
      </c>
      <c r="H24" s="34">
        <v>0</v>
      </c>
      <c r="I24" s="34">
        <v>0</v>
      </c>
    </row>
    <row r="25" spans="1:9" ht="15">
      <c r="A25" s="20" t="s">
        <v>15</v>
      </c>
      <c r="B25" s="33">
        <v>0</v>
      </c>
      <c r="C25" s="34">
        <v>0</v>
      </c>
      <c r="D25" s="33">
        <v>0</v>
      </c>
      <c r="E25" s="34">
        <v>0</v>
      </c>
      <c r="F25" s="34">
        <v>0</v>
      </c>
      <c r="G25" s="34">
        <v>0</v>
      </c>
      <c r="H25" s="34">
        <v>0</v>
      </c>
      <c r="I25" s="34">
        <v>0</v>
      </c>
    </row>
    <row r="26" spans="1:9" ht="30">
      <c r="A26" s="20" t="s">
        <v>16</v>
      </c>
      <c r="B26" s="33">
        <v>3</v>
      </c>
      <c r="C26" s="33">
        <v>3</v>
      </c>
      <c r="D26" s="33">
        <v>3</v>
      </c>
      <c r="E26" s="33">
        <v>3</v>
      </c>
      <c r="F26" s="33">
        <v>1</v>
      </c>
      <c r="G26" s="33">
        <v>1</v>
      </c>
      <c r="H26" s="33">
        <v>1</v>
      </c>
      <c r="I26" s="33">
        <v>1</v>
      </c>
    </row>
    <row r="27" spans="1:9" ht="15">
      <c r="A27" s="25" t="s">
        <v>17</v>
      </c>
      <c r="B27" s="37">
        <f t="shared" ref="B27:I27" si="2">B21+B22+B23+B24-B26</f>
        <v>69.113299523037938</v>
      </c>
      <c r="C27" s="37">
        <f t="shared" si="2"/>
        <v>69.113299523037938</v>
      </c>
      <c r="D27" s="37">
        <f t="shared" si="2"/>
        <v>69.113299523037938</v>
      </c>
      <c r="E27" s="37">
        <f t="shared" si="2"/>
        <v>69.113299523037938</v>
      </c>
      <c r="F27" s="37">
        <f t="shared" si="2"/>
        <v>22</v>
      </c>
      <c r="G27" s="37">
        <f t="shared" si="2"/>
        <v>22</v>
      </c>
      <c r="H27" s="37">
        <f t="shared" si="2"/>
        <v>22</v>
      </c>
      <c r="I27" s="37">
        <f t="shared" si="2"/>
        <v>22</v>
      </c>
    </row>
    <row r="28" spans="1:9" ht="15">
      <c r="A28" s="25" t="s">
        <v>18</v>
      </c>
      <c r="B28" s="37">
        <f t="shared" ref="B28:I28" si="3">B21+B22+B23-B25-B26</f>
        <v>69.113299523037938</v>
      </c>
      <c r="C28" s="37">
        <f t="shared" si="3"/>
        <v>69.113299523037938</v>
      </c>
      <c r="D28" s="37">
        <f t="shared" si="3"/>
        <v>69.113299523037938</v>
      </c>
      <c r="E28" s="37">
        <f t="shared" si="3"/>
        <v>69.113299523037938</v>
      </c>
      <c r="F28" s="37">
        <f t="shared" si="3"/>
        <v>22</v>
      </c>
      <c r="G28" s="37">
        <f t="shared" si="3"/>
        <v>22</v>
      </c>
      <c r="H28" s="37">
        <f t="shared" si="3"/>
        <v>22</v>
      </c>
      <c r="I28" s="37">
        <f t="shared" si="3"/>
        <v>22</v>
      </c>
    </row>
    <row r="29" spans="1:9">
      <c r="A29" s="19" t="s">
        <v>19</v>
      </c>
      <c r="B29" s="49"/>
      <c r="C29" s="49"/>
      <c r="D29" s="49"/>
      <c r="E29" s="49"/>
      <c r="F29" s="49"/>
      <c r="G29" s="49"/>
      <c r="H29" s="49"/>
      <c r="I29" s="49"/>
    </row>
    <row r="30" spans="1:9" ht="30">
      <c r="A30" s="20" t="s">
        <v>194</v>
      </c>
      <c r="B30" s="33">
        <v>2</v>
      </c>
      <c r="C30" s="50">
        <v>2</v>
      </c>
      <c r="D30" s="33">
        <v>2</v>
      </c>
      <c r="E30" s="50">
        <v>2</v>
      </c>
      <c r="F30" s="50">
        <v>64</v>
      </c>
      <c r="G30" s="50">
        <v>64</v>
      </c>
      <c r="H30" s="50">
        <v>64</v>
      </c>
      <c r="I30" s="50">
        <v>64</v>
      </c>
    </row>
    <row r="31" spans="1:9" ht="15">
      <c r="A31" s="20" t="s">
        <v>204</v>
      </c>
      <c r="B31" s="33">
        <v>2</v>
      </c>
      <c r="C31" s="50">
        <v>2</v>
      </c>
      <c r="D31" s="33">
        <v>2</v>
      </c>
      <c r="E31" s="50">
        <v>2</v>
      </c>
      <c r="F31" s="50">
        <v>2</v>
      </c>
      <c r="G31" s="50">
        <v>2</v>
      </c>
      <c r="H31" s="50">
        <v>2</v>
      </c>
      <c r="I31" s="50">
        <v>2</v>
      </c>
    </row>
    <row r="32" spans="1:9" ht="15">
      <c r="A32" s="20" t="s">
        <v>20</v>
      </c>
      <c r="B32" s="33">
        <v>0</v>
      </c>
      <c r="C32" s="50">
        <v>0</v>
      </c>
      <c r="D32" s="33">
        <v>0</v>
      </c>
      <c r="E32" s="50">
        <v>0</v>
      </c>
      <c r="F32" s="50">
        <v>8</v>
      </c>
      <c r="G32" s="50">
        <v>8</v>
      </c>
      <c r="H32" s="50">
        <v>8</v>
      </c>
      <c r="I32" s="50">
        <v>8</v>
      </c>
    </row>
    <row r="33" spans="1:9" ht="28.5">
      <c r="A33" s="26" t="s">
        <v>195</v>
      </c>
      <c r="B33" s="38">
        <f t="shared" ref="B33:I33" si="4">IF(B30&gt;=2, 10*LOG10(B30/2), 0)</f>
        <v>0</v>
      </c>
      <c r="C33" s="38">
        <f t="shared" si="4"/>
        <v>0</v>
      </c>
      <c r="D33" s="38">
        <f t="shared" si="4"/>
        <v>0</v>
      </c>
      <c r="E33" s="38">
        <f t="shared" si="4"/>
        <v>0</v>
      </c>
      <c r="F33" s="38">
        <f t="shared" si="4"/>
        <v>15.051499783199061</v>
      </c>
      <c r="G33" s="38">
        <f t="shared" si="4"/>
        <v>15.051499783199061</v>
      </c>
      <c r="H33" s="38">
        <f t="shared" si="4"/>
        <v>15.051499783199061</v>
      </c>
      <c r="I33" s="38">
        <f t="shared" si="4"/>
        <v>15.051499783199061</v>
      </c>
    </row>
    <row r="34" spans="1:9" ht="30">
      <c r="A34" s="20" t="s">
        <v>21</v>
      </c>
      <c r="B34" s="33">
        <v>1</v>
      </c>
      <c r="C34" s="35">
        <v>1</v>
      </c>
      <c r="D34" s="33">
        <v>1</v>
      </c>
      <c r="E34" s="35">
        <v>1</v>
      </c>
      <c r="F34" s="33">
        <v>3</v>
      </c>
      <c r="G34" s="33">
        <v>3</v>
      </c>
      <c r="H34" s="33">
        <v>3</v>
      </c>
      <c r="I34" s="33">
        <v>3</v>
      </c>
    </row>
    <row r="35" spans="1:9" ht="15">
      <c r="A35" s="20" t="s">
        <v>22</v>
      </c>
      <c r="B35" s="34">
        <v>7</v>
      </c>
      <c r="C35" s="34">
        <v>7</v>
      </c>
      <c r="D35" s="34">
        <v>7</v>
      </c>
      <c r="E35" s="34">
        <v>7</v>
      </c>
      <c r="F35" s="34">
        <v>5</v>
      </c>
      <c r="G35" s="34">
        <v>5</v>
      </c>
      <c r="H35" s="34">
        <v>5</v>
      </c>
      <c r="I35" s="34">
        <v>5</v>
      </c>
    </row>
    <row r="36" spans="1:9" ht="15">
      <c r="A36" s="20" t="s">
        <v>23</v>
      </c>
      <c r="B36" s="34">
        <v>-174</v>
      </c>
      <c r="C36" s="34">
        <v>-174</v>
      </c>
      <c r="D36" s="34">
        <v>-174</v>
      </c>
      <c r="E36" s="34">
        <v>-174</v>
      </c>
      <c r="F36" s="33">
        <v>-174</v>
      </c>
      <c r="G36" s="34">
        <v>-174</v>
      </c>
      <c r="H36" s="33">
        <v>-174</v>
      </c>
      <c r="I36" s="34">
        <v>-174</v>
      </c>
    </row>
    <row r="37" spans="1:9" ht="30">
      <c r="A37" s="20" t="s">
        <v>24</v>
      </c>
      <c r="B37" s="33" t="s">
        <v>161</v>
      </c>
      <c r="C37" s="34">
        <v>-169.3</v>
      </c>
      <c r="D37" s="33" t="s">
        <v>161</v>
      </c>
      <c r="E37" s="34">
        <v>-169.3</v>
      </c>
      <c r="F37" s="34" t="s">
        <v>161</v>
      </c>
      <c r="G37" s="34">
        <v>-161.69999999999999</v>
      </c>
      <c r="H37" s="34" t="s">
        <v>161</v>
      </c>
      <c r="I37" s="34">
        <v>-161.69999999999999</v>
      </c>
    </row>
    <row r="38" spans="1:9" ht="15">
      <c r="A38" s="20" t="s">
        <v>25</v>
      </c>
      <c r="B38" s="33">
        <v>-169.3</v>
      </c>
      <c r="C38" s="34" t="s">
        <v>161</v>
      </c>
      <c r="D38" s="33">
        <v>-169.3</v>
      </c>
      <c r="E38" s="34" t="s">
        <v>161</v>
      </c>
      <c r="F38" s="34">
        <v>-165.7</v>
      </c>
      <c r="G38" s="34" t="s">
        <v>161</v>
      </c>
      <c r="H38" s="34">
        <v>-165.7</v>
      </c>
      <c r="I38" s="34" t="s">
        <v>161</v>
      </c>
    </row>
    <row r="39" spans="1:9" ht="30">
      <c r="A39" s="27" t="s">
        <v>45</v>
      </c>
      <c r="B39" s="37" t="s">
        <v>209</v>
      </c>
      <c r="C39" s="37">
        <f t="shared" ref="C39:I39" si="5">10*LOG10(10^((C35+C36)/10)+10^(C37/10))</f>
        <v>-164.98918835931039</v>
      </c>
      <c r="D39" s="37" t="s">
        <v>209</v>
      </c>
      <c r="E39" s="37">
        <f t="shared" si="5"/>
        <v>-164.98918835931039</v>
      </c>
      <c r="F39" s="37" t="s">
        <v>209</v>
      </c>
      <c r="G39" s="37">
        <f t="shared" si="5"/>
        <v>-160.9583889004532</v>
      </c>
      <c r="H39" s="37" t="s">
        <v>209</v>
      </c>
      <c r="I39" s="37">
        <f t="shared" si="5"/>
        <v>-160.9583889004532</v>
      </c>
    </row>
    <row r="40" spans="1:9" ht="30">
      <c r="A40" s="27" t="s">
        <v>46</v>
      </c>
      <c r="B40" s="37">
        <f t="shared" ref="B40:H40" si="6">10*LOG10(10^((B35+B36)/10)+10^(B38/10))</f>
        <v>-164.98918835931039</v>
      </c>
      <c r="C40" s="37" t="s">
        <v>209</v>
      </c>
      <c r="D40" s="37">
        <f t="shared" si="6"/>
        <v>-164.98918835931039</v>
      </c>
      <c r="E40" s="37" t="s">
        <v>209</v>
      </c>
      <c r="F40" s="37">
        <f t="shared" si="6"/>
        <v>-164.03352307536667</v>
      </c>
      <c r="G40" s="37" t="s">
        <v>209</v>
      </c>
      <c r="H40" s="37">
        <f t="shared" si="6"/>
        <v>-164.03352307536667</v>
      </c>
      <c r="I40" s="37" t="s">
        <v>209</v>
      </c>
    </row>
    <row r="41" spans="1:9" ht="30">
      <c r="A41" s="20" t="s">
        <v>26</v>
      </c>
      <c r="B41" s="33" t="s">
        <v>161</v>
      </c>
      <c r="C41" s="33">
        <f>MaxN_RB!F6*12*15*1000</f>
        <v>19080000</v>
      </c>
      <c r="D41" s="33" t="s">
        <v>161</v>
      </c>
      <c r="E41" s="33">
        <f>MaxN_RB!F6*12*15*1000</f>
        <v>19080000</v>
      </c>
      <c r="F41" s="50" t="s">
        <v>161</v>
      </c>
      <c r="G41" s="34">
        <f>1*12*30*1000</f>
        <v>360000</v>
      </c>
      <c r="H41" s="50" t="s">
        <v>161</v>
      </c>
      <c r="I41" s="34">
        <f>1*12*30*1000</f>
        <v>360000</v>
      </c>
    </row>
    <row r="42" spans="1:9" ht="30">
      <c r="A42" s="20" t="s">
        <v>27</v>
      </c>
      <c r="B42" s="33">
        <f>MaxN_RB!F7*12*30*1000</f>
        <v>18360000</v>
      </c>
      <c r="C42" s="50" t="s">
        <v>161</v>
      </c>
      <c r="D42" s="33">
        <f>MaxN_RB!F7*12*30*1000</f>
        <v>18360000</v>
      </c>
      <c r="E42" s="50" t="s">
        <v>161</v>
      </c>
      <c r="F42" s="33">
        <f>4*12*30*1000</f>
        <v>1440000</v>
      </c>
      <c r="G42" s="34" t="s">
        <v>161</v>
      </c>
      <c r="H42" s="33">
        <f>4*12*30*1000</f>
        <v>1440000</v>
      </c>
      <c r="I42" s="34" t="s">
        <v>161</v>
      </c>
    </row>
    <row r="43" spans="1:9" ht="15">
      <c r="A43" s="25" t="s">
        <v>28</v>
      </c>
      <c r="B43" s="37" t="s">
        <v>209</v>
      </c>
      <c r="C43" s="37">
        <f t="shared" ref="B43:I44" si="7">C39+10*LOG10(C41)</f>
        <v>-92.18340465562963</v>
      </c>
      <c r="D43" s="37" t="s">
        <v>209</v>
      </c>
      <c r="E43" s="37">
        <f t="shared" si="7"/>
        <v>-92.18340465562963</v>
      </c>
      <c r="F43" s="37" t="s">
        <v>209</v>
      </c>
      <c r="G43" s="37">
        <f t="shared" si="7"/>
        <v>-105.39536389278032</v>
      </c>
      <c r="H43" s="37" t="s">
        <v>209</v>
      </c>
      <c r="I43" s="37">
        <f t="shared" si="7"/>
        <v>-105.39536389278032</v>
      </c>
    </row>
    <row r="44" spans="1:9" ht="15">
      <c r="A44" s="25" t="s">
        <v>29</v>
      </c>
      <c r="B44" s="37">
        <f t="shared" si="7"/>
        <v>-92.350461590658156</v>
      </c>
      <c r="C44" s="37" t="s">
        <v>209</v>
      </c>
      <c r="D44" s="37">
        <f t="shared" si="7"/>
        <v>-92.350461590658156</v>
      </c>
      <c r="E44" s="37" t="s">
        <v>209</v>
      </c>
      <c r="F44" s="37">
        <f t="shared" si="7"/>
        <v>-102.44989815441417</v>
      </c>
      <c r="G44" s="37" t="s">
        <v>209</v>
      </c>
      <c r="H44" s="37">
        <f t="shared" si="7"/>
        <v>-102.44989815441417</v>
      </c>
      <c r="I44" s="37" t="s">
        <v>209</v>
      </c>
    </row>
    <row r="45" spans="1:9" ht="15">
      <c r="A45" s="20" t="s">
        <v>30</v>
      </c>
      <c r="B45" s="33" t="s">
        <v>161</v>
      </c>
      <c r="C45" s="70">
        <v>-4.5999999999999996</v>
      </c>
      <c r="D45" s="70" t="s">
        <v>161</v>
      </c>
      <c r="E45" s="70">
        <v>-4.5</v>
      </c>
      <c r="F45" s="33" t="s">
        <v>161</v>
      </c>
      <c r="G45" s="70">
        <v>-5</v>
      </c>
      <c r="H45" s="70" t="s">
        <v>161</v>
      </c>
      <c r="I45" s="70">
        <v>-7.5</v>
      </c>
    </row>
    <row r="46" spans="1:9" ht="15">
      <c r="A46" s="20" t="s">
        <v>31</v>
      </c>
      <c r="B46" s="33">
        <v>2.8</v>
      </c>
      <c r="C46" s="33" t="s">
        <v>161</v>
      </c>
      <c r="D46" s="33">
        <v>-0.5</v>
      </c>
      <c r="E46" s="33" t="s">
        <v>161</v>
      </c>
      <c r="F46" s="70">
        <v>1.28</v>
      </c>
      <c r="G46" s="33" t="s">
        <v>161</v>
      </c>
      <c r="H46" s="70">
        <v>0.45</v>
      </c>
      <c r="I46" s="33" t="s">
        <v>161</v>
      </c>
    </row>
    <row r="47" spans="1:9" ht="15">
      <c r="A47" s="20" t="s">
        <v>32</v>
      </c>
      <c r="B47" s="33">
        <v>2</v>
      </c>
      <c r="C47" s="34">
        <v>2</v>
      </c>
      <c r="D47" s="33">
        <v>2</v>
      </c>
      <c r="E47" s="34">
        <v>2</v>
      </c>
      <c r="F47" s="50">
        <v>2</v>
      </c>
      <c r="G47" s="34">
        <v>2</v>
      </c>
      <c r="H47" s="50">
        <v>2</v>
      </c>
      <c r="I47" s="34">
        <v>2</v>
      </c>
    </row>
    <row r="48" spans="1:9" ht="15">
      <c r="A48" s="20" t="s">
        <v>33</v>
      </c>
      <c r="B48" s="33" t="s">
        <v>161</v>
      </c>
      <c r="C48" s="34">
        <v>0</v>
      </c>
      <c r="D48" s="33" t="s">
        <v>161</v>
      </c>
      <c r="E48" s="34">
        <v>0</v>
      </c>
      <c r="F48" s="50" t="s">
        <v>161</v>
      </c>
      <c r="G48" s="34">
        <v>0</v>
      </c>
      <c r="H48" s="50" t="s">
        <v>161</v>
      </c>
      <c r="I48" s="34">
        <v>0</v>
      </c>
    </row>
    <row r="49" spans="1:9" ht="15">
      <c r="A49" s="20" t="s">
        <v>34</v>
      </c>
      <c r="B49" s="33">
        <v>0.5</v>
      </c>
      <c r="C49" s="34" t="s">
        <v>161</v>
      </c>
      <c r="D49" s="33">
        <v>0.5</v>
      </c>
      <c r="E49" s="34" t="s">
        <v>161</v>
      </c>
      <c r="F49" s="50">
        <v>0.5</v>
      </c>
      <c r="G49" s="34" t="s">
        <v>161</v>
      </c>
      <c r="H49" s="50">
        <v>0.5</v>
      </c>
      <c r="I49" s="34" t="s">
        <v>161</v>
      </c>
    </row>
    <row r="50" spans="1:9" ht="15">
      <c r="A50" s="27" t="s">
        <v>47</v>
      </c>
      <c r="B50" s="37" t="s">
        <v>209</v>
      </c>
      <c r="C50" s="37">
        <f t="shared" ref="C50:I50" si="8">C43+C45+C47-C48</f>
        <v>-94.783404655629624</v>
      </c>
      <c r="D50" s="37" t="s">
        <v>209</v>
      </c>
      <c r="E50" s="37">
        <f t="shared" si="8"/>
        <v>-94.68340465562963</v>
      </c>
      <c r="F50" s="37" t="s">
        <v>209</v>
      </c>
      <c r="G50" s="37">
        <f t="shared" si="8"/>
        <v>-108.39536389278032</v>
      </c>
      <c r="H50" s="37" t="s">
        <v>209</v>
      </c>
      <c r="I50" s="37">
        <f t="shared" si="8"/>
        <v>-110.89536389278032</v>
      </c>
    </row>
    <row r="51" spans="1:9" ht="15">
      <c r="A51" s="27" t="s">
        <v>48</v>
      </c>
      <c r="B51" s="37">
        <f>B44+B46+B47-B49</f>
        <v>-88.050461590658159</v>
      </c>
      <c r="C51" s="37" t="s">
        <v>209</v>
      </c>
      <c r="D51" s="37">
        <f t="shared" ref="D51:H51" si="9">D44+D46+D47-D49</f>
        <v>-91.350461590658156</v>
      </c>
      <c r="E51" s="37" t="s">
        <v>209</v>
      </c>
      <c r="F51" s="37">
        <f t="shared" si="9"/>
        <v>-99.66989815441417</v>
      </c>
      <c r="G51" s="37" t="s">
        <v>209</v>
      </c>
      <c r="H51" s="37">
        <f t="shared" si="9"/>
        <v>-100.49989815441417</v>
      </c>
      <c r="I51" s="37" t="s">
        <v>209</v>
      </c>
    </row>
    <row r="52" spans="1:9" ht="15">
      <c r="A52" s="27" t="s">
        <v>129</v>
      </c>
      <c r="B52" s="37" t="s">
        <v>209</v>
      </c>
      <c r="C52" s="37">
        <f t="shared" ref="C52:I52" si="10">C27+C32+C33-C50</f>
        <v>163.89670417866756</v>
      </c>
      <c r="D52" s="37" t="s">
        <v>209</v>
      </c>
      <c r="E52" s="37">
        <f t="shared" si="10"/>
        <v>163.79670417866757</v>
      </c>
      <c r="F52" s="37" t="s">
        <v>209</v>
      </c>
      <c r="G52" s="37">
        <f t="shared" si="10"/>
        <v>153.44686367597939</v>
      </c>
      <c r="H52" s="37" t="s">
        <v>209</v>
      </c>
      <c r="I52" s="37">
        <f t="shared" si="10"/>
        <v>155.94686367597939</v>
      </c>
    </row>
    <row r="53" spans="1:9" ht="15">
      <c r="A53" s="27" t="s">
        <v>118</v>
      </c>
      <c r="B53" s="37">
        <f t="shared" ref="B53:H53" si="11">B28+B32+B33-B51</f>
        <v>157.1637611136961</v>
      </c>
      <c r="C53" s="37" t="s">
        <v>209</v>
      </c>
      <c r="D53" s="37">
        <f t="shared" si="11"/>
        <v>160.46376111369608</v>
      </c>
      <c r="E53" s="37" t="s">
        <v>209</v>
      </c>
      <c r="F53" s="37">
        <f t="shared" si="11"/>
        <v>144.72139793761323</v>
      </c>
      <c r="G53" s="37" t="s">
        <v>209</v>
      </c>
      <c r="H53" s="37">
        <f t="shared" si="11"/>
        <v>145.55139793761322</v>
      </c>
      <c r="I53" s="37" t="s">
        <v>209</v>
      </c>
    </row>
    <row r="54" spans="1:9">
      <c r="A54" s="19" t="s">
        <v>35</v>
      </c>
      <c r="B54" s="49"/>
      <c r="C54" s="49"/>
      <c r="D54" s="49"/>
      <c r="E54" s="49"/>
      <c r="F54" s="49"/>
      <c r="G54" s="49"/>
      <c r="H54" s="49"/>
      <c r="I54" s="49"/>
    </row>
    <row r="55" spans="1:9" ht="15">
      <c r="A55" s="20" t="s">
        <v>36</v>
      </c>
      <c r="B55" s="50">
        <v>8</v>
      </c>
      <c r="C55" s="50">
        <v>8</v>
      </c>
      <c r="D55" s="50">
        <v>8</v>
      </c>
      <c r="E55" s="50">
        <v>8</v>
      </c>
      <c r="F55" s="50">
        <v>8</v>
      </c>
      <c r="G55" s="50">
        <v>8</v>
      </c>
      <c r="H55" s="50">
        <v>8</v>
      </c>
      <c r="I55" s="50">
        <v>8</v>
      </c>
    </row>
    <row r="56" spans="1:9" ht="18">
      <c r="A56" s="28" t="s">
        <v>119</v>
      </c>
      <c r="B56" s="50"/>
      <c r="C56" s="50"/>
      <c r="D56" s="50"/>
      <c r="E56" s="50"/>
      <c r="F56" s="50"/>
      <c r="G56" s="50"/>
      <c r="H56" s="50"/>
      <c r="I56" s="50"/>
    </row>
    <row r="57" spans="1:9" ht="30">
      <c r="A57" s="20" t="s">
        <v>37</v>
      </c>
      <c r="B57" s="50" t="s">
        <v>161</v>
      </c>
      <c r="C57" s="50">
        <v>10.45</v>
      </c>
      <c r="D57" s="50" t="s">
        <v>161</v>
      </c>
      <c r="E57" s="50">
        <v>10</v>
      </c>
      <c r="F57" s="50" t="s">
        <v>161</v>
      </c>
      <c r="G57" s="50">
        <v>10.45</v>
      </c>
      <c r="H57" s="50" t="s">
        <v>106</v>
      </c>
      <c r="I57" s="50">
        <v>10</v>
      </c>
    </row>
    <row r="58" spans="1:9" ht="30">
      <c r="A58" s="20" t="s">
        <v>38</v>
      </c>
      <c r="B58" s="50">
        <v>6.61</v>
      </c>
      <c r="C58" s="50" t="s">
        <v>161</v>
      </c>
      <c r="D58" s="50">
        <v>6.3</v>
      </c>
      <c r="E58" s="50" t="s">
        <v>161</v>
      </c>
      <c r="F58" s="50">
        <v>6.61</v>
      </c>
      <c r="G58" s="50" t="s">
        <v>161</v>
      </c>
      <c r="H58" s="50">
        <v>6.3</v>
      </c>
      <c r="I58" s="50" t="s">
        <v>106</v>
      </c>
    </row>
    <row r="59" spans="1:9" ht="15">
      <c r="A59" s="20" t="s">
        <v>39</v>
      </c>
      <c r="B59" s="50">
        <v>0</v>
      </c>
      <c r="C59" s="50">
        <v>0</v>
      </c>
      <c r="D59" s="50">
        <v>0</v>
      </c>
      <c r="E59" s="50">
        <v>0</v>
      </c>
      <c r="F59" s="50">
        <v>0</v>
      </c>
      <c r="G59" s="50">
        <v>0</v>
      </c>
      <c r="H59" s="50">
        <v>0</v>
      </c>
      <c r="I59" s="50">
        <v>0</v>
      </c>
    </row>
    <row r="60" spans="1:9" ht="15">
      <c r="A60" s="20" t="s">
        <v>40</v>
      </c>
      <c r="B60" s="33">
        <v>9</v>
      </c>
      <c r="C60" s="33">
        <v>9</v>
      </c>
      <c r="D60" s="35">
        <v>11.9</v>
      </c>
      <c r="E60" s="35">
        <v>11.9</v>
      </c>
      <c r="F60" s="33">
        <v>9</v>
      </c>
      <c r="G60" s="33">
        <v>9</v>
      </c>
      <c r="H60" s="35">
        <v>11.9</v>
      </c>
      <c r="I60" s="35">
        <v>11.9</v>
      </c>
    </row>
    <row r="61" spans="1:9" ht="15">
      <c r="A61" s="20" t="s">
        <v>41</v>
      </c>
      <c r="B61" s="50">
        <v>0</v>
      </c>
      <c r="C61" s="50">
        <v>0</v>
      </c>
      <c r="D61" s="50">
        <v>0</v>
      </c>
      <c r="E61" s="50">
        <v>0</v>
      </c>
      <c r="F61" s="50">
        <v>0</v>
      </c>
      <c r="G61" s="50">
        <v>0</v>
      </c>
      <c r="H61" s="50">
        <v>0</v>
      </c>
      <c r="I61" s="50">
        <v>0</v>
      </c>
    </row>
    <row r="62" spans="1:9" ht="30">
      <c r="A62" s="27" t="s">
        <v>196</v>
      </c>
      <c r="B62" s="37" t="s">
        <v>209</v>
      </c>
      <c r="C62" s="37">
        <f t="shared" ref="C62:I62" si="12">C52-C57+C59-C60+C61-C34</f>
        <v>143.44670417866757</v>
      </c>
      <c r="D62" s="37" t="s">
        <v>209</v>
      </c>
      <c r="E62" s="37">
        <f t="shared" si="12"/>
        <v>140.89670417866756</v>
      </c>
      <c r="F62" s="37" t="s">
        <v>209</v>
      </c>
      <c r="G62" s="37">
        <f t="shared" si="12"/>
        <v>130.9968636759794</v>
      </c>
      <c r="H62" s="37" t="s">
        <v>209</v>
      </c>
      <c r="I62" s="37">
        <f t="shared" si="12"/>
        <v>131.04686367597938</v>
      </c>
    </row>
    <row r="63" spans="1:9" ht="30">
      <c r="A63" s="27" t="s">
        <v>49</v>
      </c>
      <c r="B63" s="37">
        <f t="shared" ref="B63:H63" si="13">B53-B58+B59-B60+B61-B34</f>
        <v>140.55376111369608</v>
      </c>
      <c r="C63" s="37" t="s">
        <v>209</v>
      </c>
      <c r="D63" s="37">
        <f t="shared" si="13"/>
        <v>141.26376111369606</v>
      </c>
      <c r="E63" s="37" t="s">
        <v>209</v>
      </c>
      <c r="F63" s="37">
        <f t="shared" si="13"/>
        <v>126.11139793761322</v>
      </c>
      <c r="G63" s="37" t="s">
        <v>209</v>
      </c>
      <c r="H63" s="37">
        <f t="shared" si="13"/>
        <v>124.3513979376132</v>
      </c>
      <c r="I63" s="37" t="s">
        <v>209</v>
      </c>
    </row>
    <row r="64" spans="1:9">
      <c r="A64" s="19" t="s">
        <v>42</v>
      </c>
      <c r="B64" s="49"/>
      <c r="C64" s="49"/>
      <c r="D64" s="49"/>
      <c r="E64" s="49"/>
      <c r="F64" s="49"/>
      <c r="G64" s="49"/>
      <c r="H64" s="49"/>
      <c r="I64" s="49"/>
    </row>
    <row r="65" spans="1:9" ht="30">
      <c r="A65" s="29" t="s">
        <v>197</v>
      </c>
      <c r="B65" s="34" t="s">
        <v>105</v>
      </c>
      <c r="C65" s="50">
        <f>10^(3+(C62-161.04+7.1*LOG10(20)-7.5*LOG10(5)+(24.37-3.7*(5/C$5)^2)*LOG10(C$5)-20*LOG10(C$4)+(3.2*(LOG10(11.75*C$6))^2-4.97))/(43.42-3.1*LOG10(C$5)))</f>
        <v>5002.2735449836473</v>
      </c>
      <c r="D65" s="34" t="s">
        <v>105</v>
      </c>
      <c r="E65" s="50">
        <f>10^(3+(E62-161.04+7.1*LOG10(20)-7.5*LOG10(5)+(24.37-3.7*(5/E$5)^2)*LOG10(E$5)-20*LOG10(E$4)+(3.2*(LOG10(11.75*E$6))^2-4.97))/(43.42-3.1*LOG10(E$5)))</f>
        <v>4296.9703344285608</v>
      </c>
      <c r="F65" s="34" t="s">
        <v>105</v>
      </c>
      <c r="G65" s="50">
        <f>10^(3+(G62-161.04+7.1*LOG10(20)-7.5*LOG10(5)+(24.37-3.7*(5/G$5)^2)*LOG10(G$5)-20*LOG10(G$4)+(3.2*(LOG10(11.75*G$6))^2-4.97))/(43.42-3.1*LOG10(G$5)))</f>
        <v>2381.8338385122202</v>
      </c>
      <c r="H65" s="34" t="s">
        <v>105</v>
      </c>
      <c r="I65" s="50">
        <f>10^(3+(I62-161.04+7.1*LOG10(20)-7.5*LOG10(5)+(24.37-3.7*(5/I$5)^2)*LOG10(I$5)-20*LOG10(I$4)+(3.2*(LOG10(11.75*I$6))^2-4.97))/(43.42-3.1*LOG10(I$5)))</f>
        <v>2388.9423982203398</v>
      </c>
    </row>
    <row r="66" spans="1:9" ht="30">
      <c r="A66" s="29" t="s">
        <v>198</v>
      </c>
      <c r="B66" s="50">
        <f>10^(3+(B63-161.04+7.1*LOG10(20)-7.5*LOG10(5)+(24.37-3.7*(5/B$5)^2)*LOG10(B$5)-20*LOG10(B$4)+(3.2*(LOG10(11.75*B$6))^2-4.97))/(43.42-3.1*LOG10(B$5)))</f>
        <v>4210.0329854575284</v>
      </c>
      <c r="C66" s="34" t="s">
        <v>105</v>
      </c>
      <c r="D66" s="50">
        <f>10^(3+(D63-161.04+7.1*LOG10(20)-7.5*LOG10(5)+(24.37-3.7*(5/D$5)^2)*LOG10(D$5)-20*LOG10(D$4)+(3.2*(LOG10(11.75*D$6))^2-4.97))/(43.42-3.1*LOG10(D$5)))</f>
        <v>4392.0106446185036</v>
      </c>
      <c r="E66" s="34" t="s">
        <v>105</v>
      </c>
      <c r="F66" s="51">
        <f>10^(3+(F63-161.04+7.1*LOG10(20)-7.5*LOG10(5)+(24.37-3.7*(5/F$5)^2)*LOG10(F$5)-20*LOG10(F$4)+(3.2*(LOG10(11.75*F$6))^2-4.97))/(43.42-3.1*LOG10(F$5)))</f>
        <v>1780.1408922167677</v>
      </c>
      <c r="G66" s="34" t="s">
        <v>105</v>
      </c>
      <c r="H66" s="50">
        <f>10^(3+(H63-161.04+7.1*LOG10(20)-7.5*LOG10(5)+(24.37-3.7*(5/H$5)^2)*LOG10(H$5)-20*LOG10(H$4)+(3.2*(LOG10(11.75*H$6))^2-4.97))/(43.42-3.1*LOG10(H$5)))</f>
        <v>1602.8686254622612</v>
      </c>
      <c r="I66" s="34" t="s">
        <v>105</v>
      </c>
    </row>
    <row r="67" spans="1:9" ht="18">
      <c r="A67" s="29" t="s">
        <v>120</v>
      </c>
      <c r="B67" s="34" t="s">
        <v>161</v>
      </c>
      <c r="C67" s="34">
        <f>PI()*(C65)^2</f>
        <v>78611258.100840911</v>
      </c>
      <c r="D67" s="34" t="s">
        <v>161</v>
      </c>
      <c r="E67" s="34">
        <f>PI()*(E65)^2</f>
        <v>58006222.415278964</v>
      </c>
      <c r="F67" s="34" t="s">
        <v>161</v>
      </c>
      <c r="G67" s="34">
        <f>PI()*(G65)^2</f>
        <v>17822671.17838186</v>
      </c>
      <c r="H67" s="34" t="s">
        <v>161</v>
      </c>
      <c r="I67" s="34">
        <f>PI()*(I65)^2</f>
        <v>17929213.10247815</v>
      </c>
    </row>
    <row r="68" spans="1:9" ht="18">
      <c r="A68" s="29" t="s">
        <v>121</v>
      </c>
      <c r="B68" s="34">
        <f>PI()*(B66)^2</f>
        <v>55682774.893163249</v>
      </c>
      <c r="C68" s="34" t="s">
        <v>161</v>
      </c>
      <c r="D68" s="34">
        <f>PI()*(D66)^2</f>
        <v>60600560.45920115</v>
      </c>
      <c r="E68" s="34" t="s">
        <v>161</v>
      </c>
      <c r="F68" s="34">
        <f>PI()*(F66)^2</f>
        <v>9955397.9743896499</v>
      </c>
      <c r="G68" s="34" t="s">
        <v>161</v>
      </c>
      <c r="H68" s="34">
        <f>PI()*(H66)^2</f>
        <v>8071341.6139636999</v>
      </c>
      <c r="I68" s="34" t="s">
        <v>161</v>
      </c>
    </row>
    <row r="70" spans="1:9">
      <c r="A70" s="48"/>
      <c r="C70" s="39" t="s">
        <v>214</v>
      </c>
    </row>
  </sheetData>
  <mergeCells count="2">
    <mergeCell ref="B1:E1"/>
    <mergeCell ref="F1:I1"/>
  </mergeCells>
  <phoneticPr fontId="1" type="noConversion"/>
  <dataValidations count="1">
    <dataValidation type="list" allowBlank="1" showInputMessage="1" showErrorMessage="1" sqref="F34:I34 B26:E26">
      <formula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tabSelected="1" zoomScale="70" zoomScaleNormal="70" workbookViewId="0">
      <pane xSplit="1" ySplit="2" topLeftCell="B24" activePane="bottomRight" state="frozen"/>
      <selection pane="topRight" activeCell="B1" sqref="B1"/>
      <selection pane="bottomLeft" activeCell="A3" sqref="A3"/>
      <selection pane="bottomRight" activeCell="F45" sqref="F45:I46"/>
    </sheetView>
  </sheetViews>
  <sheetFormatPr defaultRowHeight="14.25"/>
  <cols>
    <col min="1" max="1" width="69" style="30" customWidth="1"/>
    <col min="2" max="2" width="12.75" style="39" customWidth="1"/>
    <col min="3" max="3" width="14.25" style="39" customWidth="1"/>
    <col min="4" max="4" width="13.625" style="39" customWidth="1"/>
    <col min="5" max="5" width="14.625" style="39" bestFit="1" customWidth="1"/>
    <col min="6" max="6" width="13" style="39" customWidth="1"/>
    <col min="7" max="7" width="13.125" style="39" bestFit="1" customWidth="1"/>
    <col min="8" max="8" width="12.375" style="39" customWidth="1"/>
    <col min="9" max="9" width="12.25" style="39" bestFit="1" customWidth="1"/>
  </cols>
  <sheetData>
    <row r="1" spans="1:9">
      <c r="A1" s="46" t="s">
        <v>0</v>
      </c>
      <c r="B1" s="100" t="s">
        <v>136</v>
      </c>
      <c r="C1" s="100"/>
      <c r="D1" s="100"/>
      <c r="E1" s="101"/>
      <c r="F1" s="100" t="s">
        <v>137</v>
      </c>
      <c r="G1" s="100"/>
      <c r="H1" s="100"/>
      <c r="I1" s="101"/>
    </row>
    <row r="2" spans="1:9" ht="57">
      <c r="A2" s="46"/>
      <c r="B2" s="31" t="s">
        <v>140</v>
      </c>
      <c r="C2" s="31" t="s">
        <v>141</v>
      </c>
      <c r="D2" s="31" t="s">
        <v>142</v>
      </c>
      <c r="E2" s="31" t="s">
        <v>143</v>
      </c>
      <c r="F2" s="31" t="s">
        <v>144</v>
      </c>
      <c r="G2" s="31" t="s">
        <v>145</v>
      </c>
      <c r="H2" s="31" t="s">
        <v>146</v>
      </c>
      <c r="I2" s="31" t="s">
        <v>147</v>
      </c>
    </row>
    <row r="3" spans="1:9">
      <c r="A3" s="19" t="s">
        <v>1</v>
      </c>
      <c r="B3" s="72"/>
      <c r="C3" s="72"/>
      <c r="D3" s="72"/>
      <c r="E3" s="72"/>
      <c r="F3" s="72"/>
      <c r="G3" s="72"/>
      <c r="H3" s="72"/>
      <c r="I3" s="72"/>
    </row>
    <row r="4" spans="1:9" ht="15.75">
      <c r="A4" s="20" t="s">
        <v>2</v>
      </c>
      <c r="B4" s="56">
        <v>0.7</v>
      </c>
      <c r="C4" s="65">
        <v>0.7</v>
      </c>
      <c r="D4" s="56">
        <v>0.7</v>
      </c>
      <c r="E4" s="65">
        <v>0.7</v>
      </c>
      <c r="F4" s="56">
        <v>0.7</v>
      </c>
      <c r="G4" s="56">
        <v>0.7</v>
      </c>
      <c r="H4" s="56">
        <v>0.7</v>
      </c>
      <c r="I4" s="56">
        <v>0.7</v>
      </c>
    </row>
    <row r="5" spans="1:9" ht="15.75">
      <c r="A5" s="20" t="s">
        <v>3</v>
      </c>
      <c r="B5" s="56">
        <v>25</v>
      </c>
      <c r="C5" s="65">
        <v>25</v>
      </c>
      <c r="D5" s="56">
        <v>25</v>
      </c>
      <c r="E5" s="65">
        <v>25</v>
      </c>
      <c r="F5" s="56">
        <v>25</v>
      </c>
      <c r="G5" s="56">
        <v>25</v>
      </c>
      <c r="H5" s="56">
        <v>25</v>
      </c>
      <c r="I5" s="56">
        <v>25</v>
      </c>
    </row>
    <row r="6" spans="1:9" ht="15.75">
      <c r="A6" s="20" t="s">
        <v>4</v>
      </c>
      <c r="B6" s="56">
        <v>1.5</v>
      </c>
      <c r="C6" s="65">
        <v>1.5</v>
      </c>
      <c r="D6" s="56">
        <v>1.5</v>
      </c>
      <c r="E6" s="65">
        <v>1.5</v>
      </c>
      <c r="F6" s="56">
        <v>1.5</v>
      </c>
      <c r="G6" s="56">
        <v>1.5</v>
      </c>
      <c r="H6" s="56">
        <v>1.5</v>
      </c>
      <c r="I6" s="56">
        <v>1.5</v>
      </c>
    </row>
    <row r="7" spans="1:9" ht="31.5">
      <c r="A7" s="20" t="s">
        <v>109</v>
      </c>
      <c r="B7" s="57" t="s">
        <v>148</v>
      </c>
      <c r="C7" s="57">
        <v>0.99</v>
      </c>
      <c r="D7" s="57" t="s">
        <v>148</v>
      </c>
      <c r="E7" s="57">
        <v>0.99</v>
      </c>
      <c r="F7" s="57" t="s">
        <v>148</v>
      </c>
      <c r="G7" s="57">
        <v>0.99</v>
      </c>
      <c r="H7" s="57" t="s">
        <v>148</v>
      </c>
      <c r="I7" s="57">
        <v>0.99</v>
      </c>
    </row>
    <row r="8" spans="1:9" ht="31.5">
      <c r="A8" s="20" t="s">
        <v>110</v>
      </c>
      <c r="B8" s="58">
        <v>0.99</v>
      </c>
      <c r="C8" s="58" t="s">
        <v>148</v>
      </c>
      <c r="D8" s="58">
        <v>0.99</v>
      </c>
      <c r="E8" s="58" t="s">
        <v>148</v>
      </c>
      <c r="F8" s="58">
        <v>0.99</v>
      </c>
      <c r="G8" s="58" t="s">
        <v>148</v>
      </c>
      <c r="H8" s="58">
        <v>0.99</v>
      </c>
      <c r="I8" s="58" t="s">
        <v>148</v>
      </c>
    </row>
    <row r="9" spans="1:9" ht="15.75">
      <c r="A9" s="20" t="s">
        <v>5</v>
      </c>
      <c r="B9" s="73" t="s">
        <v>148</v>
      </c>
      <c r="C9" s="59">
        <v>44</v>
      </c>
      <c r="D9" s="73" t="s">
        <v>148</v>
      </c>
      <c r="E9" s="59">
        <v>44</v>
      </c>
      <c r="F9" s="59"/>
      <c r="G9" s="59">
        <v>15</v>
      </c>
      <c r="H9" s="59"/>
      <c r="I9" s="59">
        <v>15</v>
      </c>
    </row>
    <row r="10" spans="1:9" ht="15">
      <c r="A10" s="20" t="s">
        <v>6</v>
      </c>
      <c r="B10" s="59">
        <v>180</v>
      </c>
      <c r="C10" s="60" t="s">
        <v>148</v>
      </c>
      <c r="D10" s="59">
        <v>180</v>
      </c>
      <c r="E10" s="60" t="s">
        <v>148</v>
      </c>
      <c r="F10" s="60">
        <v>180</v>
      </c>
      <c r="G10" s="60" t="s">
        <v>148</v>
      </c>
      <c r="H10" s="60">
        <v>180</v>
      </c>
      <c r="I10" s="60" t="s">
        <v>148</v>
      </c>
    </row>
    <row r="11" spans="1:9" ht="30" customHeight="1">
      <c r="A11" s="20" t="s">
        <v>7</v>
      </c>
      <c r="B11" s="61" t="s">
        <v>148</v>
      </c>
      <c r="C11" s="62">
        <v>0.01</v>
      </c>
      <c r="D11" s="61" t="s">
        <v>148</v>
      </c>
      <c r="E11" s="62">
        <v>0.01</v>
      </c>
      <c r="F11" s="61" t="s">
        <v>148</v>
      </c>
      <c r="G11" s="62">
        <v>0.01</v>
      </c>
      <c r="H11" s="61" t="s">
        <v>148</v>
      </c>
      <c r="I11" s="62">
        <v>0.01</v>
      </c>
    </row>
    <row r="12" spans="1:9" ht="15">
      <c r="A12" s="20" t="s">
        <v>8</v>
      </c>
      <c r="B12" s="61">
        <v>0.1</v>
      </c>
      <c r="C12" s="62" t="s">
        <v>148</v>
      </c>
      <c r="D12" s="61">
        <v>0.1</v>
      </c>
      <c r="E12" s="62" t="s">
        <v>148</v>
      </c>
      <c r="F12" s="61">
        <v>0.1</v>
      </c>
      <c r="G12" s="62" t="s">
        <v>148</v>
      </c>
      <c r="H12" s="61">
        <v>0.1</v>
      </c>
      <c r="I12" s="62" t="s">
        <v>148</v>
      </c>
    </row>
    <row r="13" spans="1:9" ht="16.5">
      <c r="A13" s="20" t="s">
        <v>111</v>
      </c>
      <c r="B13" s="74">
        <f>B10/B42</f>
        <v>1E-3</v>
      </c>
      <c r="C13" s="63" t="s">
        <v>148</v>
      </c>
      <c r="D13" s="74">
        <f>D10/D42</f>
        <v>1E-3</v>
      </c>
      <c r="E13" s="63" t="s">
        <v>148</v>
      </c>
      <c r="F13" s="74">
        <f>F10/F42</f>
        <v>1.2E-2</v>
      </c>
      <c r="G13" s="63" t="s">
        <v>148</v>
      </c>
      <c r="H13" s="74">
        <f>H10/H42</f>
        <v>1.2E-2</v>
      </c>
      <c r="I13" s="63" t="s">
        <v>148</v>
      </c>
    </row>
    <row r="14" spans="1:9" ht="16.5">
      <c r="A14" s="20" t="s">
        <v>112</v>
      </c>
      <c r="B14" s="65" t="s">
        <v>150</v>
      </c>
      <c r="C14" s="65" t="s">
        <v>150</v>
      </c>
      <c r="D14" s="65" t="s">
        <v>151</v>
      </c>
      <c r="E14" s="65" t="s">
        <v>151</v>
      </c>
      <c r="F14" s="65" t="s">
        <v>149</v>
      </c>
      <c r="G14" s="65" t="s">
        <v>149</v>
      </c>
      <c r="H14" s="65" t="s">
        <v>152</v>
      </c>
      <c r="I14" s="65" t="s">
        <v>152</v>
      </c>
    </row>
    <row r="15" spans="1:9" ht="15.75">
      <c r="A15" s="20" t="s">
        <v>153</v>
      </c>
      <c r="B15" s="65">
        <v>3</v>
      </c>
      <c r="C15" s="65">
        <v>3</v>
      </c>
      <c r="D15" s="65">
        <v>3</v>
      </c>
      <c r="E15" s="65">
        <v>3</v>
      </c>
      <c r="F15" s="56">
        <v>3</v>
      </c>
      <c r="G15" s="56">
        <v>3</v>
      </c>
      <c r="H15" s="56">
        <v>3</v>
      </c>
      <c r="I15" s="56">
        <v>3</v>
      </c>
    </row>
    <row r="16" spans="1:9" ht="15.75">
      <c r="A16" s="20" t="s">
        <v>9</v>
      </c>
      <c r="B16" s="65">
        <v>3</v>
      </c>
      <c r="C16" s="65">
        <v>3</v>
      </c>
      <c r="D16" s="65">
        <v>3</v>
      </c>
      <c r="E16" s="65">
        <v>3</v>
      </c>
      <c r="F16" s="56">
        <v>3</v>
      </c>
      <c r="G16" s="56">
        <v>3</v>
      </c>
      <c r="H16" s="56">
        <v>3</v>
      </c>
      <c r="I16" s="56">
        <v>3</v>
      </c>
    </row>
    <row r="17" spans="1:9">
      <c r="A17" s="19" t="s">
        <v>10</v>
      </c>
      <c r="B17" s="55"/>
      <c r="C17" s="55"/>
      <c r="D17" s="55"/>
      <c r="E17" s="55"/>
      <c r="F17" s="55"/>
      <c r="G17" s="55"/>
      <c r="H17" s="55"/>
      <c r="I17" s="55"/>
    </row>
    <row r="18" spans="1:9" ht="30">
      <c r="A18" s="20" t="s">
        <v>154</v>
      </c>
      <c r="B18" s="56">
        <v>16</v>
      </c>
      <c r="C18" s="56">
        <v>16</v>
      </c>
      <c r="D18" s="60">
        <v>16</v>
      </c>
      <c r="E18" s="65">
        <v>16</v>
      </c>
      <c r="F18" s="56">
        <v>1</v>
      </c>
      <c r="G18" s="56">
        <v>1</v>
      </c>
      <c r="H18" s="56">
        <v>1</v>
      </c>
      <c r="I18" s="56">
        <v>1</v>
      </c>
    </row>
    <row r="19" spans="1:9" ht="15.75">
      <c r="A19" s="20" t="s">
        <v>155</v>
      </c>
      <c r="B19" s="56">
        <v>2</v>
      </c>
      <c r="C19" s="56">
        <v>2</v>
      </c>
      <c r="D19" s="56">
        <v>2</v>
      </c>
      <c r="E19" s="56">
        <v>2</v>
      </c>
      <c r="F19" s="56">
        <v>23</v>
      </c>
      <c r="G19" s="56">
        <v>23</v>
      </c>
      <c r="H19" s="56">
        <v>23</v>
      </c>
      <c r="I19" s="56">
        <v>23</v>
      </c>
    </row>
    <row r="20" spans="1:9" ht="15.75">
      <c r="A20" s="20" t="s">
        <v>11</v>
      </c>
      <c r="B20" s="66">
        <v>23</v>
      </c>
      <c r="C20" s="66">
        <v>23</v>
      </c>
      <c r="D20" s="66">
        <v>23</v>
      </c>
      <c r="E20" s="66">
        <v>23</v>
      </c>
      <c r="F20" s="66">
        <f t="shared" ref="F20:I20" si="0">F19+10*LOG10(F18)</f>
        <v>23</v>
      </c>
      <c r="G20" s="66">
        <f t="shared" si="0"/>
        <v>23</v>
      </c>
      <c r="H20" s="66">
        <f t="shared" si="0"/>
        <v>23</v>
      </c>
      <c r="I20" s="66">
        <f t="shared" si="0"/>
        <v>23</v>
      </c>
    </row>
    <row r="21" spans="1:9" ht="30">
      <c r="A21" s="41" t="s">
        <v>156</v>
      </c>
      <c r="B21" s="67">
        <f t="shared" ref="B21:I21" si="1">B20+10*LOG10(B18)</f>
        <v>35.04119982655925</v>
      </c>
      <c r="C21" s="67">
        <f t="shared" si="1"/>
        <v>35.04119982655925</v>
      </c>
      <c r="D21" s="67">
        <f t="shared" si="1"/>
        <v>35.04119982655925</v>
      </c>
      <c r="E21" s="67">
        <f t="shared" si="1"/>
        <v>35.04119982655925</v>
      </c>
      <c r="F21" s="67">
        <f t="shared" si="1"/>
        <v>23</v>
      </c>
      <c r="G21" s="67">
        <f t="shared" si="1"/>
        <v>23</v>
      </c>
      <c r="H21" s="67">
        <f t="shared" si="1"/>
        <v>23</v>
      </c>
      <c r="I21" s="67">
        <f t="shared" si="1"/>
        <v>23</v>
      </c>
    </row>
    <row r="22" spans="1:9" ht="15.75">
      <c r="A22" s="20" t="s">
        <v>12</v>
      </c>
      <c r="B22" s="60">
        <v>8</v>
      </c>
      <c r="C22" s="65">
        <v>8</v>
      </c>
      <c r="D22" s="60">
        <v>8</v>
      </c>
      <c r="E22" s="65">
        <v>8</v>
      </c>
      <c r="F22" s="56">
        <v>0</v>
      </c>
      <c r="G22" s="65">
        <v>0</v>
      </c>
      <c r="H22" s="56">
        <v>0</v>
      </c>
      <c r="I22" s="65">
        <v>0</v>
      </c>
    </row>
    <row r="23" spans="1:9" ht="45" customHeight="1">
      <c r="A23" s="42" t="s">
        <v>13</v>
      </c>
      <c r="B23" s="67">
        <f t="shared" ref="B23:I23" si="2">IF(B18&gt;=2, 10*LOG10(B18/2), 0)</f>
        <v>9.0308998699194358</v>
      </c>
      <c r="C23" s="67">
        <f t="shared" si="2"/>
        <v>9.0308998699194358</v>
      </c>
      <c r="D23" s="67">
        <f t="shared" si="2"/>
        <v>9.0308998699194358</v>
      </c>
      <c r="E23" s="67">
        <f t="shared" si="2"/>
        <v>9.0308998699194358</v>
      </c>
      <c r="F23" s="67">
        <f t="shared" si="2"/>
        <v>0</v>
      </c>
      <c r="G23" s="67">
        <f t="shared" si="2"/>
        <v>0</v>
      </c>
      <c r="H23" s="67">
        <f t="shared" si="2"/>
        <v>0</v>
      </c>
      <c r="I23" s="67">
        <f t="shared" si="2"/>
        <v>0</v>
      </c>
    </row>
    <row r="24" spans="1:9" ht="15.75">
      <c r="A24" s="20" t="s">
        <v>14</v>
      </c>
      <c r="B24" s="70">
        <v>0</v>
      </c>
      <c r="C24" s="65">
        <v>0</v>
      </c>
      <c r="D24" s="70">
        <v>0</v>
      </c>
      <c r="E24" s="65">
        <v>0</v>
      </c>
      <c r="F24" s="56">
        <v>0</v>
      </c>
      <c r="G24" s="56">
        <v>0</v>
      </c>
      <c r="H24" s="56">
        <v>0</v>
      </c>
      <c r="I24" s="56">
        <v>0</v>
      </c>
    </row>
    <row r="25" spans="1:9" ht="15.75">
      <c r="A25" s="20" t="s">
        <v>15</v>
      </c>
      <c r="B25" s="70">
        <v>0</v>
      </c>
      <c r="C25" s="65">
        <v>0</v>
      </c>
      <c r="D25" s="70">
        <v>0</v>
      </c>
      <c r="E25" s="65">
        <v>0</v>
      </c>
      <c r="F25" s="56">
        <v>0</v>
      </c>
      <c r="G25" s="56">
        <v>0</v>
      </c>
      <c r="H25" s="56">
        <v>0</v>
      </c>
      <c r="I25" s="56">
        <v>0</v>
      </c>
    </row>
    <row r="26" spans="1:9" ht="30">
      <c r="A26" s="20" t="s">
        <v>16</v>
      </c>
      <c r="B26" s="64">
        <v>3</v>
      </c>
      <c r="C26" s="64">
        <v>3</v>
      </c>
      <c r="D26" s="64">
        <v>3</v>
      </c>
      <c r="E26" s="64">
        <v>3</v>
      </c>
      <c r="F26" s="64">
        <v>0</v>
      </c>
      <c r="G26" s="64">
        <v>0</v>
      </c>
      <c r="H26" s="64">
        <v>0</v>
      </c>
      <c r="I26" s="64">
        <v>0</v>
      </c>
    </row>
    <row r="27" spans="1:9" ht="15.75">
      <c r="A27" s="25" t="s">
        <v>17</v>
      </c>
      <c r="B27" s="68">
        <f t="shared" ref="B27:I27" si="3">B21+B22+B23+B24-B26</f>
        <v>49.072099696478688</v>
      </c>
      <c r="C27" s="68">
        <f t="shared" si="3"/>
        <v>49.072099696478688</v>
      </c>
      <c r="D27" s="68">
        <f t="shared" si="3"/>
        <v>49.072099696478688</v>
      </c>
      <c r="E27" s="68">
        <f t="shared" si="3"/>
        <v>49.072099696478688</v>
      </c>
      <c r="F27" s="69">
        <f t="shared" si="3"/>
        <v>23</v>
      </c>
      <c r="G27" s="69">
        <f t="shared" si="3"/>
        <v>23</v>
      </c>
      <c r="H27" s="69">
        <f t="shared" si="3"/>
        <v>23</v>
      </c>
      <c r="I27" s="69">
        <f t="shared" si="3"/>
        <v>23</v>
      </c>
    </row>
    <row r="28" spans="1:9" ht="15.75">
      <c r="A28" s="25" t="s">
        <v>18</v>
      </c>
      <c r="B28" s="68">
        <f t="shared" ref="B28:I28" si="4">B21+B22+B23-B25-B26</f>
        <v>49.072099696478688</v>
      </c>
      <c r="C28" s="68">
        <f t="shared" si="4"/>
        <v>49.072099696478688</v>
      </c>
      <c r="D28" s="68">
        <f t="shared" si="4"/>
        <v>49.072099696478688</v>
      </c>
      <c r="E28" s="68">
        <f t="shared" si="4"/>
        <v>49.072099696478688</v>
      </c>
      <c r="F28" s="69">
        <f t="shared" si="4"/>
        <v>23</v>
      </c>
      <c r="G28" s="69">
        <f t="shared" si="4"/>
        <v>23</v>
      </c>
      <c r="H28" s="69">
        <f t="shared" si="4"/>
        <v>23</v>
      </c>
      <c r="I28" s="69">
        <f t="shared" si="4"/>
        <v>23</v>
      </c>
    </row>
    <row r="29" spans="1:9">
      <c r="A29" s="19" t="s">
        <v>19</v>
      </c>
      <c r="B29" s="55"/>
      <c r="C29" s="55"/>
      <c r="D29" s="55"/>
      <c r="E29" s="55"/>
      <c r="F29" s="55"/>
      <c r="G29" s="55"/>
      <c r="H29" s="55"/>
      <c r="I29" s="55"/>
    </row>
    <row r="30" spans="1:9" ht="30">
      <c r="A30" s="20" t="s">
        <v>157</v>
      </c>
      <c r="B30" s="70">
        <v>1</v>
      </c>
      <c r="C30" s="65">
        <v>1</v>
      </c>
      <c r="D30" s="70">
        <v>1</v>
      </c>
      <c r="E30" s="65">
        <v>1</v>
      </c>
      <c r="F30" s="65">
        <v>32</v>
      </c>
      <c r="G30" s="65">
        <v>32</v>
      </c>
      <c r="H30" s="65">
        <v>32</v>
      </c>
      <c r="I30" s="65">
        <v>32</v>
      </c>
    </row>
    <row r="31" spans="1:9" ht="15">
      <c r="A31" s="20" t="s">
        <v>158</v>
      </c>
      <c r="B31" s="70">
        <v>1</v>
      </c>
      <c r="C31" s="65">
        <v>1</v>
      </c>
      <c r="D31" s="70">
        <v>1</v>
      </c>
      <c r="E31" s="65">
        <v>1</v>
      </c>
      <c r="F31" s="65">
        <v>2</v>
      </c>
      <c r="G31" s="65">
        <v>2</v>
      </c>
      <c r="H31" s="65">
        <v>2</v>
      </c>
      <c r="I31" s="65">
        <v>2</v>
      </c>
    </row>
    <row r="32" spans="1:9" ht="15">
      <c r="A32" s="20" t="s">
        <v>20</v>
      </c>
      <c r="B32" s="70">
        <v>0</v>
      </c>
      <c r="C32" s="65">
        <v>0</v>
      </c>
      <c r="D32" s="70">
        <v>0</v>
      </c>
      <c r="E32" s="65">
        <v>0</v>
      </c>
      <c r="F32" s="65">
        <v>8</v>
      </c>
      <c r="G32" s="65">
        <v>8</v>
      </c>
      <c r="H32" s="65">
        <v>8</v>
      </c>
      <c r="I32" s="65">
        <v>8</v>
      </c>
    </row>
    <row r="33" spans="1:9" ht="28.5">
      <c r="A33" s="26" t="s">
        <v>159</v>
      </c>
      <c r="B33" s="67">
        <f t="shared" ref="B33:E33" si="5">IF(B30&gt;=2, 10*LOG10(B30/2), 0)</f>
        <v>0</v>
      </c>
      <c r="C33" s="67">
        <f t="shared" si="5"/>
        <v>0</v>
      </c>
      <c r="D33" s="67">
        <f t="shared" si="5"/>
        <v>0</v>
      </c>
      <c r="E33" s="67">
        <f t="shared" si="5"/>
        <v>0</v>
      </c>
      <c r="F33" s="67">
        <f t="shared" ref="F33:I33" si="6">IF(F30/F31&gt;=2, 10*LOG10(F30/F31), 0)</f>
        <v>12.041199826559248</v>
      </c>
      <c r="G33" s="67">
        <f t="shared" si="6"/>
        <v>12.041199826559248</v>
      </c>
      <c r="H33" s="67">
        <f t="shared" si="6"/>
        <v>12.041199826559248</v>
      </c>
      <c r="I33" s="67">
        <f t="shared" si="6"/>
        <v>12.041199826559248</v>
      </c>
    </row>
    <row r="34" spans="1:9" ht="30">
      <c r="A34" s="20" t="s">
        <v>21</v>
      </c>
      <c r="B34" s="56">
        <v>0</v>
      </c>
      <c r="C34" s="56">
        <v>0</v>
      </c>
      <c r="D34" s="56">
        <v>0</v>
      </c>
      <c r="E34" s="56">
        <v>0</v>
      </c>
      <c r="F34" s="56">
        <v>3</v>
      </c>
      <c r="G34" s="56">
        <v>3</v>
      </c>
      <c r="H34" s="56">
        <v>3</v>
      </c>
      <c r="I34" s="56">
        <v>3</v>
      </c>
    </row>
    <row r="35" spans="1:9" ht="15.75">
      <c r="A35" s="20" t="s">
        <v>22</v>
      </c>
      <c r="B35" s="65">
        <v>7</v>
      </c>
      <c r="C35" s="65">
        <v>7</v>
      </c>
      <c r="D35" s="65">
        <v>7</v>
      </c>
      <c r="E35" s="65">
        <v>7</v>
      </c>
      <c r="F35" s="56">
        <v>5</v>
      </c>
      <c r="G35" s="56">
        <v>5</v>
      </c>
      <c r="H35" s="56">
        <v>5</v>
      </c>
      <c r="I35" s="56">
        <v>5</v>
      </c>
    </row>
    <row r="36" spans="1:9" ht="15.75">
      <c r="A36" s="20" t="s">
        <v>23</v>
      </c>
      <c r="B36" s="60">
        <v>-174</v>
      </c>
      <c r="C36" s="60">
        <v>-174</v>
      </c>
      <c r="D36" s="60">
        <v>-174</v>
      </c>
      <c r="E36" s="60">
        <v>-174</v>
      </c>
      <c r="F36" s="56">
        <v>-174</v>
      </c>
      <c r="G36" s="56">
        <v>-174</v>
      </c>
      <c r="H36" s="56">
        <v>-174</v>
      </c>
      <c r="I36" s="56">
        <v>-174</v>
      </c>
    </row>
    <row r="37" spans="1:9" ht="30">
      <c r="A37" s="20" t="s">
        <v>24</v>
      </c>
      <c r="B37" s="70" t="s">
        <v>160</v>
      </c>
      <c r="C37" s="71">
        <v>-177</v>
      </c>
      <c r="D37" s="70" t="s">
        <v>160</v>
      </c>
      <c r="E37" s="70">
        <v>-177</v>
      </c>
      <c r="F37" s="56" t="s">
        <v>160</v>
      </c>
      <c r="G37" s="70">
        <v>-177</v>
      </c>
      <c r="H37" s="56" t="s">
        <v>160</v>
      </c>
      <c r="I37" s="70">
        <v>-177</v>
      </c>
    </row>
    <row r="38" spans="1:9" ht="15">
      <c r="A38" s="20" t="s">
        <v>25</v>
      </c>
      <c r="B38" s="70">
        <v>-177</v>
      </c>
      <c r="C38" s="71" t="s">
        <v>160</v>
      </c>
      <c r="D38" s="70">
        <v>-177</v>
      </c>
      <c r="E38" s="71" t="s">
        <v>160</v>
      </c>
      <c r="F38" s="71">
        <v>-177</v>
      </c>
      <c r="G38" s="71" t="s">
        <v>160</v>
      </c>
      <c r="H38" s="71">
        <v>-177</v>
      </c>
      <c r="I38" s="71" t="s">
        <v>160</v>
      </c>
    </row>
    <row r="39" spans="1:9" ht="30">
      <c r="A39" s="27" t="s">
        <v>45</v>
      </c>
      <c r="B39" s="69" t="s">
        <v>210</v>
      </c>
      <c r="C39" s="69">
        <f t="shared" ref="C39:I39" si="7">10*LOG10(10^((C35+C36)/10)+10^(C37/10))</f>
        <v>-166.58607314841777</v>
      </c>
      <c r="D39" s="69" t="s">
        <v>210</v>
      </c>
      <c r="E39" s="69">
        <f t="shared" si="7"/>
        <v>-166.58607314841777</v>
      </c>
      <c r="F39" s="69" t="s">
        <v>210</v>
      </c>
      <c r="G39" s="69">
        <f t="shared" si="7"/>
        <v>-168.36107965856621</v>
      </c>
      <c r="H39" s="69" t="s">
        <v>210</v>
      </c>
      <c r="I39" s="69">
        <f t="shared" si="7"/>
        <v>-168.36107965856621</v>
      </c>
    </row>
    <row r="40" spans="1:9" ht="30">
      <c r="A40" s="27" t="s">
        <v>46</v>
      </c>
      <c r="B40" s="69">
        <f t="shared" ref="B40:H40" si="8">10*LOG10(10^((B35+B36)/10)+10^(B38/10))</f>
        <v>-166.58607314841777</v>
      </c>
      <c r="C40" s="69" t="s">
        <v>210</v>
      </c>
      <c r="D40" s="69">
        <f t="shared" si="8"/>
        <v>-166.58607314841777</v>
      </c>
      <c r="E40" s="69" t="s">
        <v>210</v>
      </c>
      <c r="F40" s="69">
        <f t="shared" si="8"/>
        <v>-168.36107965856621</v>
      </c>
      <c r="G40" s="69" t="s">
        <v>210</v>
      </c>
      <c r="H40" s="69">
        <f t="shared" si="8"/>
        <v>-168.36107965856621</v>
      </c>
      <c r="I40" s="69" t="s">
        <v>210</v>
      </c>
    </row>
    <row r="41" spans="1:9" ht="30">
      <c r="A41" s="20" t="s">
        <v>26</v>
      </c>
      <c r="B41" s="70" t="s">
        <v>160</v>
      </c>
      <c r="C41" s="70">
        <f>1*12*15*1000</f>
        <v>180000</v>
      </c>
      <c r="D41" s="70" t="s">
        <v>160</v>
      </c>
      <c r="E41" s="70">
        <f>1*12*15*1000</f>
        <v>180000</v>
      </c>
      <c r="F41" s="65" t="s">
        <v>160</v>
      </c>
      <c r="G41" s="65">
        <f>15*1000</f>
        <v>15000</v>
      </c>
      <c r="H41" s="65" t="s">
        <v>160</v>
      </c>
      <c r="I41" s="65">
        <f>15*1000</f>
        <v>15000</v>
      </c>
    </row>
    <row r="42" spans="1:9" ht="30">
      <c r="A42" s="20" t="s">
        <v>27</v>
      </c>
      <c r="B42" s="70">
        <f>1*12*15*1000</f>
        <v>180000</v>
      </c>
      <c r="C42" s="65" t="s">
        <v>160</v>
      </c>
      <c r="D42" s="70">
        <f>1*12*15*1000</f>
        <v>180000</v>
      </c>
      <c r="E42" s="65" t="s">
        <v>160</v>
      </c>
      <c r="F42" s="70">
        <f>15*1000</f>
        <v>15000</v>
      </c>
      <c r="G42" s="65" t="s">
        <v>160</v>
      </c>
      <c r="H42" s="70">
        <f>15*1000</f>
        <v>15000</v>
      </c>
      <c r="I42" s="65" t="s">
        <v>160</v>
      </c>
    </row>
    <row r="43" spans="1:9" ht="15">
      <c r="A43" s="25" t="s">
        <v>28</v>
      </c>
      <c r="B43" s="69" t="s">
        <v>210</v>
      </c>
      <c r="C43" s="69">
        <f t="shared" ref="B43:I44" si="9">C39+10*LOG10(C41)</f>
        <v>-114.0333480973847</v>
      </c>
      <c r="D43" s="69" t="s">
        <v>210</v>
      </c>
      <c r="E43" s="69">
        <f t="shared" si="9"/>
        <v>-114.0333480973847</v>
      </c>
      <c r="F43" s="69" t="s">
        <v>210</v>
      </c>
      <c r="G43" s="69">
        <f t="shared" si="9"/>
        <v>-126.6001670680094</v>
      </c>
      <c r="H43" s="69" t="s">
        <v>210</v>
      </c>
      <c r="I43" s="69">
        <f t="shared" si="9"/>
        <v>-126.6001670680094</v>
      </c>
    </row>
    <row r="44" spans="1:9" ht="15">
      <c r="A44" s="25" t="s">
        <v>29</v>
      </c>
      <c r="B44" s="69">
        <f t="shared" si="9"/>
        <v>-114.0333480973847</v>
      </c>
      <c r="C44" s="69" t="s">
        <v>210</v>
      </c>
      <c r="D44" s="69">
        <f t="shared" si="9"/>
        <v>-114.0333480973847</v>
      </c>
      <c r="E44" s="69" t="s">
        <v>210</v>
      </c>
      <c r="F44" s="69">
        <f t="shared" si="9"/>
        <v>-126.6001670680094</v>
      </c>
      <c r="G44" s="69" t="s">
        <v>210</v>
      </c>
      <c r="H44" s="69">
        <f t="shared" si="9"/>
        <v>-126.6001670680094</v>
      </c>
      <c r="I44" s="69" t="s">
        <v>210</v>
      </c>
    </row>
    <row r="45" spans="1:9" ht="15">
      <c r="A45" s="20" t="s">
        <v>30</v>
      </c>
      <c r="B45" s="33" t="s">
        <v>68</v>
      </c>
      <c r="C45" s="35">
        <v>-15.55</v>
      </c>
      <c r="D45" s="33" t="s">
        <v>68</v>
      </c>
      <c r="E45" s="35">
        <v>-15.55</v>
      </c>
      <c r="F45" s="35" t="s">
        <v>223</v>
      </c>
      <c r="G45" s="35">
        <v>-14.94</v>
      </c>
      <c r="H45" s="35" t="s">
        <v>223</v>
      </c>
      <c r="I45" s="35">
        <v>-14.94</v>
      </c>
    </row>
    <row r="46" spans="1:9" ht="15">
      <c r="A46" s="20" t="s">
        <v>31</v>
      </c>
      <c r="B46" s="33">
        <v>-16.010000000000002</v>
      </c>
      <c r="C46" s="35" t="s">
        <v>68</v>
      </c>
      <c r="D46" s="33">
        <v>-16.010000000000002</v>
      </c>
      <c r="E46" s="35" t="s">
        <v>68</v>
      </c>
      <c r="F46" s="35">
        <v>-12.26</v>
      </c>
      <c r="G46" s="35" t="s">
        <v>223</v>
      </c>
      <c r="H46" s="35">
        <v>-12.26</v>
      </c>
      <c r="I46" s="35" t="s">
        <v>223</v>
      </c>
    </row>
    <row r="47" spans="1:9" ht="15">
      <c r="A47" s="20" t="s">
        <v>32</v>
      </c>
      <c r="B47" s="70">
        <v>2</v>
      </c>
      <c r="C47" s="65">
        <v>2</v>
      </c>
      <c r="D47" s="70">
        <v>2</v>
      </c>
      <c r="E47" s="65">
        <v>2</v>
      </c>
      <c r="F47" s="65">
        <v>2</v>
      </c>
      <c r="G47" s="65">
        <v>2</v>
      </c>
      <c r="H47" s="65">
        <v>2</v>
      </c>
      <c r="I47" s="65">
        <v>2</v>
      </c>
    </row>
    <row r="48" spans="1:9" ht="15">
      <c r="A48" s="20" t="s">
        <v>33</v>
      </c>
      <c r="B48" s="70" t="s">
        <v>160</v>
      </c>
      <c r="C48" s="65">
        <v>0</v>
      </c>
      <c r="D48" s="70" t="s">
        <v>160</v>
      </c>
      <c r="E48" s="65">
        <v>0</v>
      </c>
      <c r="F48" s="65" t="s">
        <v>160</v>
      </c>
      <c r="G48" s="65">
        <v>0</v>
      </c>
      <c r="H48" s="65" t="s">
        <v>160</v>
      </c>
      <c r="I48" s="65">
        <v>0</v>
      </c>
    </row>
    <row r="49" spans="1:9" ht="15">
      <c r="A49" s="20" t="s">
        <v>34</v>
      </c>
      <c r="B49" s="70">
        <v>0</v>
      </c>
      <c r="C49" s="65" t="s">
        <v>160</v>
      </c>
      <c r="D49" s="70">
        <v>0</v>
      </c>
      <c r="E49" s="65" t="s">
        <v>160</v>
      </c>
      <c r="F49" s="70">
        <v>0</v>
      </c>
      <c r="G49" s="65" t="s">
        <v>160</v>
      </c>
      <c r="H49" s="70">
        <v>0</v>
      </c>
      <c r="I49" s="65" t="s">
        <v>160</v>
      </c>
    </row>
    <row r="50" spans="1:9" ht="15">
      <c r="A50" s="27" t="s">
        <v>47</v>
      </c>
      <c r="B50" s="69" t="s">
        <v>210</v>
      </c>
      <c r="C50" s="69">
        <f t="shared" ref="C50:I50" si="10">C43+C45+C47-C48</f>
        <v>-127.58334809738471</v>
      </c>
      <c r="D50" s="69" t="s">
        <v>210</v>
      </c>
      <c r="E50" s="69">
        <f t="shared" si="10"/>
        <v>-127.58334809738471</v>
      </c>
      <c r="F50" s="69" t="s">
        <v>210</v>
      </c>
      <c r="G50" s="69">
        <f t="shared" si="10"/>
        <v>-139.5401670680094</v>
      </c>
      <c r="H50" s="69" t="s">
        <v>210</v>
      </c>
      <c r="I50" s="69">
        <f t="shared" si="10"/>
        <v>-139.5401670680094</v>
      </c>
    </row>
    <row r="51" spans="1:9" ht="15">
      <c r="A51" s="27" t="s">
        <v>48</v>
      </c>
      <c r="B51" s="69">
        <f>B44+B46+B47-B49</f>
        <v>-128.04334809738469</v>
      </c>
      <c r="C51" s="69" t="s">
        <v>210</v>
      </c>
      <c r="D51" s="69">
        <f t="shared" ref="D51:H51" si="11">D44+D46+D47-D49</f>
        <v>-128.04334809738469</v>
      </c>
      <c r="E51" s="69" t="s">
        <v>210</v>
      </c>
      <c r="F51" s="69">
        <f t="shared" si="11"/>
        <v>-136.86016706800939</v>
      </c>
      <c r="G51" s="69" t="s">
        <v>210</v>
      </c>
      <c r="H51" s="69">
        <f t="shared" si="11"/>
        <v>-136.86016706800939</v>
      </c>
      <c r="I51" s="69" t="s">
        <v>210</v>
      </c>
    </row>
    <row r="52" spans="1:9" ht="15">
      <c r="A52" s="27" t="s">
        <v>117</v>
      </c>
      <c r="B52" s="69" t="s">
        <v>210</v>
      </c>
      <c r="C52" s="69">
        <f t="shared" ref="C52:I52" si="12">C27+C32+C33-C50</f>
        <v>176.6554477938634</v>
      </c>
      <c r="D52" s="69" t="s">
        <v>210</v>
      </c>
      <c r="E52" s="69">
        <f t="shared" si="12"/>
        <v>176.6554477938634</v>
      </c>
      <c r="F52" s="69" t="s">
        <v>210</v>
      </c>
      <c r="G52" s="69">
        <f t="shared" si="12"/>
        <v>182.58136689456865</v>
      </c>
      <c r="H52" s="69" t="s">
        <v>210</v>
      </c>
      <c r="I52" s="69">
        <f t="shared" si="12"/>
        <v>182.58136689456865</v>
      </c>
    </row>
    <row r="53" spans="1:9" ht="15">
      <c r="A53" s="27" t="s">
        <v>118</v>
      </c>
      <c r="B53" s="69">
        <f t="shared" ref="B53:H53" si="13">B28+B32+B33-B51</f>
        <v>177.11544779386338</v>
      </c>
      <c r="C53" s="69" t="s">
        <v>210</v>
      </c>
      <c r="D53" s="69">
        <f t="shared" si="13"/>
        <v>177.11544779386338</v>
      </c>
      <c r="E53" s="69" t="s">
        <v>210</v>
      </c>
      <c r="F53" s="69">
        <f t="shared" si="13"/>
        <v>179.90136689456864</v>
      </c>
      <c r="G53" s="69" t="s">
        <v>210</v>
      </c>
      <c r="H53" s="69">
        <f t="shared" si="13"/>
        <v>179.90136689456864</v>
      </c>
      <c r="I53" s="69" t="s">
        <v>210</v>
      </c>
    </row>
    <row r="54" spans="1:9">
      <c r="A54" s="19" t="s">
        <v>35</v>
      </c>
      <c r="B54" s="72"/>
      <c r="C54" s="72"/>
      <c r="D54" s="72"/>
      <c r="E54" s="72"/>
      <c r="F54" s="72"/>
      <c r="G54" s="72"/>
      <c r="H54" s="72"/>
      <c r="I54" s="72"/>
    </row>
    <row r="55" spans="1:9" ht="15">
      <c r="A55" s="20" t="s">
        <v>36</v>
      </c>
      <c r="B55" s="34">
        <v>6</v>
      </c>
      <c r="C55" s="34">
        <v>6</v>
      </c>
      <c r="D55" s="34">
        <v>6</v>
      </c>
      <c r="E55" s="34">
        <v>6</v>
      </c>
      <c r="F55" s="34">
        <v>6</v>
      </c>
      <c r="G55" s="34">
        <v>6</v>
      </c>
      <c r="H55" s="34">
        <v>6</v>
      </c>
      <c r="I55" s="34">
        <v>6</v>
      </c>
    </row>
    <row r="56" spans="1:9" ht="30">
      <c r="A56" s="20" t="s">
        <v>37</v>
      </c>
      <c r="B56" s="33" t="s">
        <v>160</v>
      </c>
      <c r="C56" s="33">
        <v>10.26</v>
      </c>
      <c r="D56" s="33" t="s">
        <v>160</v>
      </c>
      <c r="E56" s="33">
        <v>17</v>
      </c>
      <c r="F56" s="35" t="s">
        <v>160</v>
      </c>
      <c r="G56" s="33">
        <v>10.26</v>
      </c>
      <c r="H56" s="35" t="s">
        <v>160</v>
      </c>
      <c r="I56" s="33">
        <v>17</v>
      </c>
    </row>
    <row r="57" spans="1:9" ht="30">
      <c r="A57" s="20" t="s">
        <v>38</v>
      </c>
      <c r="B57" s="33">
        <v>10.26</v>
      </c>
      <c r="C57" s="33" t="s">
        <v>160</v>
      </c>
      <c r="D57" s="33">
        <v>17</v>
      </c>
      <c r="E57" s="33" t="s">
        <v>160</v>
      </c>
      <c r="F57" s="33">
        <v>10.26</v>
      </c>
      <c r="G57" s="35" t="s">
        <v>160</v>
      </c>
      <c r="H57" s="33">
        <v>17</v>
      </c>
      <c r="I57" s="35" t="s">
        <v>160</v>
      </c>
    </row>
    <row r="58" spans="1:9" ht="15">
      <c r="A58" s="20" t="s">
        <v>39</v>
      </c>
      <c r="B58" s="35">
        <v>0</v>
      </c>
      <c r="C58" s="35">
        <v>0</v>
      </c>
      <c r="D58" s="35">
        <v>0</v>
      </c>
      <c r="E58" s="35">
        <v>0</v>
      </c>
      <c r="F58" s="35">
        <v>0</v>
      </c>
      <c r="G58" s="35">
        <v>0</v>
      </c>
      <c r="H58" s="35">
        <v>0</v>
      </c>
      <c r="I58" s="35">
        <v>0</v>
      </c>
    </row>
    <row r="59" spans="1:9" ht="15">
      <c r="A59" s="20" t="s">
        <v>40</v>
      </c>
      <c r="B59" s="33">
        <v>0</v>
      </c>
      <c r="C59" s="33">
        <v>0</v>
      </c>
      <c r="D59" s="35">
        <f>17.75+0.5*25/3</f>
        <v>21.916666666666668</v>
      </c>
      <c r="E59" s="35">
        <f>17.75+0.5*25/3</f>
        <v>21.916666666666668</v>
      </c>
      <c r="F59" s="33">
        <v>0</v>
      </c>
      <c r="G59" s="33">
        <v>0</v>
      </c>
      <c r="H59" s="35">
        <f>17.75+0.5*25/3</f>
        <v>21.916666666666668</v>
      </c>
      <c r="I59" s="35">
        <f>17.75+0.5*25/3</f>
        <v>21.916666666666668</v>
      </c>
    </row>
    <row r="60" spans="1:9" ht="15">
      <c r="A60" s="20" t="s">
        <v>41</v>
      </c>
      <c r="B60" s="50">
        <v>0</v>
      </c>
      <c r="C60" s="50">
        <v>0</v>
      </c>
      <c r="D60" s="50">
        <v>0</v>
      </c>
      <c r="E60" s="50">
        <v>0</v>
      </c>
      <c r="F60" s="50">
        <v>0</v>
      </c>
      <c r="G60" s="50">
        <v>0</v>
      </c>
      <c r="H60" s="50">
        <v>0</v>
      </c>
      <c r="I60" s="50">
        <v>0</v>
      </c>
    </row>
    <row r="61" spans="1:9" ht="30">
      <c r="A61" s="27" t="s">
        <v>54</v>
      </c>
      <c r="B61" s="69" t="s">
        <v>210</v>
      </c>
      <c r="C61" s="37">
        <f t="shared" ref="C61:I61" si="14">C52-C56+C58-C59+C60-C34</f>
        <v>166.39544779386341</v>
      </c>
      <c r="D61" s="69" t="s">
        <v>210</v>
      </c>
      <c r="E61" s="37">
        <f t="shared" si="14"/>
        <v>137.73878112719675</v>
      </c>
      <c r="F61" s="69" t="s">
        <v>210</v>
      </c>
      <c r="G61" s="37">
        <f t="shared" si="14"/>
        <v>169.32136689456865</v>
      </c>
      <c r="H61" s="69" t="s">
        <v>210</v>
      </c>
      <c r="I61" s="37">
        <f t="shared" si="14"/>
        <v>140.66470022790199</v>
      </c>
    </row>
    <row r="62" spans="1:9" ht="30">
      <c r="A62" s="27" t="s">
        <v>49</v>
      </c>
      <c r="B62" s="37">
        <f t="shared" ref="B62:H62" si="15">B53-B57+B58-B59+B60-B34</f>
        <v>166.85544779386339</v>
      </c>
      <c r="C62" s="69" t="s">
        <v>210</v>
      </c>
      <c r="D62" s="37">
        <f t="shared" si="15"/>
        <v>138.19878112719672</v>
      </c>
      <c r="E62" s="69" t="s">
        <v>210</v>
      </c>
      <c r="F62" s="37">
        <f t="shared" si="15"/>
        <v>166.64136689456865</v>
      </c>
      <c r="G62" s="69" t="s">
        <v>210</v>
      </c>
      <c r="H62" s="37">
        <f t="shared" si="15"/>
        <v>137.98470022790198</v>
      </c>
      <c r="I62" s="69" t="s">
        <v>210</v>
      </c>
    </row>
    <row r="63" spans="1:9">
      <c r="A63" s="19" t="s">
        <v>42</v>
      </c>
      <c r="B63" s="72"/>
      <c r="C63" s="72"/>
      <c r="D63" s="72"/>
      <c r="E63" s="72"/>
      <c r="F63" s="72"/>
      <c r="G63" s="72"/>
      <c r="H63" s="72"/>
      <c r="I63" s="72"/>
    </row>
    <row r="64" spans="1:9" s="77" customFormat="1">
      <c r="A64" s="75"/>
      <c r="B64" s="76"/>
      <c r="C64" s="76"/>
      <c r="D64" s="76"/>
      <c r="E64" s="76"/>
      <c r="F64" s="76"/>
      <c r="G64" s="76"/>
      <c r="H64" s="76"/>
      <c r="I64" s="76"/>
    </row>
    <row r="65" spans="1:9" ht="30">
      <c r="A65" s="29" t="s">
        <v>43</v>
      </c>
      <c r="B65" s="34"/>
      <c r="C65" s="34">
        <f>SQRT((10^((C61-13.54-20*LOG10(C$4)+0.6*(C$6-1.5))/39.08))^2-(C5-C6)^2)</f>
        <v>9786.3381164779057</v>
      </c>
      <c r="D65" s="34" t="s">
        <v>105</v>
      </c>
      <c r="E65" s="34">
        <f>SQRT((10^((E61-13.54-20*LOG10(E$4)+0.6*(E$6-1.5))/39.08))^2-(E5-E6)^2)</f>
        <v>1808.4339339597404</v>
      </c>
      <c r="F65" s="34"/>
      <c r="G65" s="34">
        <f>SQRT((10^((G61-13.54-20*LOG10(G$4)+0.6*(G$6-1.5))/39.08))^2-(G5-G6)^2)</f>
        <v>11627.613002376676</v>
      </c>
      <c r="H65" s="34"/>
      <c r="I65" s="34">
        <f>SQRT((10^((I61-13.54-20*LOG10(I$4)+0.6*(I$6-1.5))/39.08))^2-(I5-I6)^2)</f>
        <v>2148.7373258779835</v>
      </c>
    </row>
    <row r="66" spans="1:9" ht="30">
      <c r="A66" s="29" t="s">
        <v>44</v>
      </c>
      <c r="B66" s="34">
        <f>SQRT((10^((B62-13.54-20*LOG10(B$4)+0.6*(B$6-1.5))/39.08))^2-(B5-B6)^2)</f>
        <v>10055.206854346452</v>
      </c>
      <c r="C66" s="34" t="s">
        <v>105</v>
      </c>
      <c r="D66" s="34">
        <f>SQRT((10^((D62-13.54-20*LOG10(D$4)+0.6*(D$6-1.5))/39.08))^2-(D5-D6)^2)</f>
        <v>1858.1266366508155</v>
      </c>
      <c r="E66" s="34" t="s">
        <v>105</v>
      </c>
      <c r="F66" s="34">
        <f>SQRT((10^((F62-13.54-20*LOG10(F$4)+0.6*(F$6-1.5))/39.08))^2-(F5-F6)^2)</f>
        <v>9929.1703581946495</v>
      </c>
      <c r="G66" s="34" t="s">
        <v>105</v>
      </c>
      <c r="H66" s="34">
        <f>SQRT((10^((H62-13.54-20*LOG10(H$4)+0.6*(H$6-1.5))/39.08))^2-(H5-H6)^2)</f>
        <v>1834.8324186966554</v>
      </c>
      <c r="I66" s="34" t="s">
        <v>105</v>
      </c>
    </row>
    <row r="67" spans="1:9" ht="18">
      <c r="A67" s="29" t="s">
        <v>120</v>
      </c>
      <c r="B67" s="81" t="s">
        <v>160</v>
      </c>
      <c r="C67" s="81">
        <f>PI()*(C65)^2</f>
        <v>300877911.39081919</v>
      </c>
      <c r="D67" s="81" t="s">
        <v>160</v>
      </c>
      <c r="E67" s="81">
        <f>PI()*(E65)^2</f>
        <v>10274369.208905971</v>
      </c>
      <c r="F67" s="81" t="s">
        <v>160</v>
      </c>
      <c r="G67" s="81">
        <f>PI()*(G65)^2</f>
        <v>424747675.1475274</v>
      </c>
      <c r="H67" s="81" t="s">
        <v>160</v>
      </c>
      <c r="I67" s="81">
        <f>PI()*(I65)^2</f>
        <v>14504959.776698204</v>
      </c>
    </row>
    <row r="68" spans="1:9" ht="18">
      <c r="A68" s="29" t="s">
        <v>121</v>
      </c>
      <c r="B68" s="81">
        <f>PI()*(B66)^2</f>
        <v>317637589.25576395</v>
      </c>
      <c r="C68" s="81" t="s">
        <v>160</v>
      </c>
      <c r="D68" s="81">
        <f>PI()*(D66)^2</f>
        <v>10846771.488076672</v>
      </c>
      <c r="E68" s="81" t="s">
        <v>160</v>
      </c>
      <c r="F68" s="81">
        <f>PI()*(F66)^2</f>
        <v>309724668.5738399</v>
      </c>
      <c r="G68" s="81" t="s">
        <v>160</v>
      </c>
      <c r="H68" s="81">
        <f>PI()*(H66)^2</f>
        <v>10576517.258268105</v>
      </c>
      <c r="I68" s="81" t="s">
        <v>160</v>
      </c>
    </row>
    <row r="70" spans="1:9">
      <c r="A70" s="48"/>
    </row>
    <row r="73" spans="1:9" ht="15">
      <c r="A73" s="43"/>
      <c r="B73" s="44"/>
      <c r="C73" s="44"/>
      <c r="D73" s="44"/>
      <c r="E73" s="44"/>
      <c r="F73" s="44"/>
      <c r="G73" s="44"/>
      <c r="H73" s="44"/>
      <c r="I73" s="44"/>
    </row>
  </sheetData>
  <mergeCells count="2">
    <mergeCell ref="B1:E1"/>
    <mergeCell ref="F1:I1"/>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zoomScale="70" zoomScaleNormal="70" workbookViewId="0">
      <pane xSplit="1" ySplit="3" topLeftCell="B37" activePane="bottomRight" state="frozen"/>
      <selection pane="topRight" activeCell="B1" sqref="B1"/>
      <selection pane="bottomLeft" activeCell="A4" sqref="A4"/>
      <selection pane="bottomRight" activeCell="K43" sqref="K43"/>
    </sheetView>
  </sheetViews>
  <sheetFormatPr defaultRowHeight="14.25"/>
  <cols>
    <col min="1" max="1" width="69" style="52" customWidth="1"/>
    <col min="2" max="2" width="11.5" style="53" bestFit="1" customWidth="1"/>
    <col min="3" max="3" width="14.625" style="53" bestFit="1" customWidth="1"/>
    <col min="4" max="4" width="12.625" style="54" customWidth="1"/>
    <col min="5" max="5" width="12.125" style="54" customWidth="1"/>
    <col min="6" max="6" width="12.625" style="54" customWidth="1"/>
    <col min="7" max="7" width="11.5" style="54" customWidth="1"/>
    <col min="8" max="8" width="12" style="54" customWidth="1"/>
    <col min="9" max="9" width="15.875" style="54" customWidth="1"/>
    <col min="10" max="16384" width="9" style="1"/>
  </cols>
  <sheetData>
    <row r="1" spans="1:9" ht="15" customHeight="1">
      <c r="A1" s="18"/>
      <c r="B1" s="31"/>
      <c r="C1" s="102" t="s">
        <v>50</v>
      </c>
      <c r="D1" s="103"/>
      <c r="E1" s="104"/>
      <c r="F1" s="31"/>
      <c r="G1" s="102" t="s">
        <v>50</v>
      </c>
      <c r="H1" s="103"/>
      <c r="I1" s="104"/>
    </row>
    <row r="2" spans="1:9">
      <c r="A2" s="17" t="s">
        <v>0</v>
      </c>
      <c r="B2" s="102" t="s">
        <v>52</v>
      </c>
      <c r="C2" s="104"/>
      <c r="D2" s="31"/>
      <c r="E2" s="31"/>
      <c r="F2" s="102" t="s">
        <v>52</v>
      </c>
      <c r="G2" s="104"/>
      <c r="H2" s="31"/>
      <c r="I2" s="31"/>
    </row>
    <row r="3" spans="1:9" ht="42.75">
      <c r="A3" s="17"/>
      <c r="B3" s="31" t="s">
        <v>53</v>
      </c>
      <c r="C3" s="31" t="s">
        <v>63</v>
      </c>
      <c r="D3" s="31" t="s">
        <v>64</v>
      </c>
      <c r="E3" s="31" t="s">
        <v>65</v>
      </c>
      <c r="F3" s="31" t="s">
        <v>66</v>
      </c>
      <c r="G3" s="31" t="s">
        <v>62</v>
      </c>
      <c r="H3" s="31" t="s">
        <v>55</v>
      </c>
      <c r="I3" s="31" t="s">
        <v>67</v>
      </c>
    </row>
    <row r="4" spans="1:9">
      <c r="A4" s="19" t="s">
        <v>1</v>
      </c>
      <c r="B4" s="32"/>
      <c r="C4" s="32"/>
      <c r="D4" s="32"/>
      <c r="E4" s="32"/>
      <c r="F4" s="32"/>
      <c r="G4" s="32"/>
      <c r="H4" s="32"/>
      <c r="I4" s="32"/>
    </row>
    <row r="5" spans="1:9" ht="15">
      <c r="A5" s="20" t="s">
        <v>2</v>
      </c>
      <c r="B5" s="33">
        <v>0.7</v>
      </c>
      <c r="C5" s="34">
        <v>0.7</v>
      </c>
      <c r="D5" s="33">
        <v>0.7</v>
      </c>
      <c r="E5" s="34">
        <v>0.7</v>
      </c>
      <c r="F5" s="33">
        <v>0.7</v>
      </c>
      <c r="G5" s="34">
        <v>0.7</v>
      </c>
      <c r="H5" s="33">
        <v>0.7</v>
      </c>
      <c r="I5" s="34">
        <v>0.7</v>
      </c>
    </row>
    <row r="6" spans="1:9" ht="15">
      <c r="A6" s="20" t="s">
        <v>3</v>
      </c>
      <c r="B6" s="33">
        <v>25</v>
      </c>
      <c r="C6" s="34">
        <v>25</v>
      </c>
      <c r="D6" s="34">
        <v>25</v>
      </c>
      <c r="E6" s="34">
        <v>25</v>
      </c>
      <c r="F6" s="33">
        <v>25</v>
      </c>
      <c r="G6" s="34">
        <v>25</v>
      </c>
      <c r="H6" s="34">
        <v>25</v>
      </c>
      <c r="I6" s="34">
        <v>25</v>
      </c>
    </row>
    <row r="7" spans="1:9" ht="15">
      <c r="A7" s="20" t="s">
        <v>4</v>
      </c>
      <c r="B7" s="33">
        <v>1.5</v>
      </c>
      <c r="C7" s="34">
        <v>1.5</v>
      </c>
      <c r="D7" s="33">
        <v>1.5</v>
      </c>
      <c r="E7" s="34">
        <v>1.5</v>
      </c>
      <c r="F7" s="33">
        <v>1.5</v>
      </c>
      <c r="G7" s="34">
        <v>1.5</v>
      </c>
      <c r="H7" s="33">
        <v>1.5</v>
      </c>
      <c r="I7" s="34">
        <v>1.5</v>
      </c>
    </row>
    <row r="8" spans="1:9" ht="31.5">
      <c r="A8" s="20" t="s">
        <v>109</v>
      </c>
      <c r="B8" s="21" t="s">
        <v>161</v>
      </c>
      <c r="C8" s="21">
        <v>0.95</v>
      </c>
      <c r="D8" s="21" t="s">
        <v>161</v>
      </c>
      <c r="E8" s="21">
        <v>0.95</v>
      </c>
      <c r="F8" s="21" t="s">
        <v>161</v>
      </c>
      <c r="G8" s="21">
        <v>0.95</v>
      </c>
      <c r="H8" s="21" t="s">
        <v>161</v>
      </c>
      <c r="I8" s="21">
        <v>0.95</v>
      </c>
    </row>
    <row r="9" spans="1:9" ht="31.5">
      <c r="A9" s="20" t="s">
        <v>110</v>
      </c>
      <c r="B9" s="21">
        <v>0.9</v>
      </c>
      <c r="C9" s="21" t="s">
        <v>161</v>
      </c>
      <c r="D9" s="21">
        <v>0.9</v>
      </c>
      <c r="E9" s="21" t="s">
        <v>161</v>
      </c>
      <c r="F9" s="21">
        <v>0.9</v>
      </c>
      <c r="G9" s="21" t="s">
        <v>161</v>
      </c>
      <c r="H9" s="21">
        <v>0.9</v>
      </c>
      <c r="I9" s="21" t="s">
        <v>161</v>
      </c>
    </row>
    <row r="10" spans="1:9" ht="15">
      <c r="A10" s="20" t="s">
        <v>5</v>
      </c>
      <c r="B10" s="33" t="s">
        <v>161</v>
      </c>
      <c r="C10" s="34"/>
      <c r="D10" s="33" t="s">
        <v>161</v>
      </c>
      <c r="E10" s="34"/>
      <c r="F10" s="33" t="s">
        <v>161</v>
      </c>
      <c r="G10" s="34"/>
      <c r="H10" s="33" t="s">
        <v>161</v>
      </c>
      <c r="I10" s="34"/>
    </row>
    <row r="11" spans="1:9" ht="15">
      <c r="A11" s="20" t="s">
        <v>6</v>
      </c>
      <c r="B11" s="80">
        <f>32*8/0.001</f>
        <v>256000</v>
      </c>
      <c r="C11" s="81" t="s">
        <v>161</v>
      </c>
      <c r="D11" s="80">
        <f>32*8/0.001</f>
        <v>256000</v>
      </c>
      <c r="E11" s="81" t="s">
        <v>161</v>
      </c>
      <c r="F11" s="80">
        <f>32*8/0.001</f>
        <v>256000</v>
      </c>
      <c r="G11" s="81" t="s">
        <v>161</v>
      </c>
      <c r="H11" s="80">
        <f>32*8/0.001</f>
        <v>256000</v>
      </c>
      <c r="I11" s="81" t="s">
        <v>161</v>
      </c>
    </row>
    <row r="12" spans="1:9" ht="30" customHeight="1">
      <c r="A12" s="20" t="s">
        <v>7</v>
      </c>
      <c r="B12" s="80" t="s">
        <v>161</v>
      </c>
      <c r="C12" s="80">
        <v>1.0000000000000001E-5</v>
      </c>
      <c r="D12" s="80" t="s">
        <v>161</v>
      </c>
      <c r="E12" s="80">
        <v>1.0000000000000001E-5</v>
      </c>
      <c r="F12" s="80" t="s">
        <v>161</v>
      </c>
      <c r="G12" s="80">
        <v>1.0000000000000001E-5</v>
      </c>
      <c r="H12" s="80" t="s">
        <v>161</v>
      </c>
      <c r="I12" s="80">
        <v>1.0000000000000001E-5</v>
      </c>
    </row>
    <row r="13" spans="1:9" ht="15">
      <c r="A13" s="20" t="s">
        <v>8</v>
      </c>
      <c r="B13" s="80">
        <v>1.0000000000000001E-5</v>
      </c>
      <c r="C13" s="81" t="s">
        <v>161</v>
      </c>
      <c r="D13" s="80">
        <v>1.0000000000000001E-5</v>
      </c>
      <c r="E13" s="81" t="s">
        <v>161</v>
      </c>
      <c r="F13" s="80">
        <v>1.0000000000000001E-5</v>
      </c>
      <c r="G13" s="81" t="s">
        <v>161</v>
      </c>
      <c r="H13" s="80">
        <v>1.0000000000000001E-5</v>
      </c>
      <c r="I13" s="81" t="s">
        <v>161</v>
      </c>
    </row>
    <row r="14" spans="1:9" ht="16.5">
      <c r="A14" s="20" t="s">
        <v>111</v>
      </c>
      <c r="B14" s="80">
        <f>B11/B43</f>
        <v>4.4444444444444446E-2</v>
      </c>
      <c r="C14" s="81" t="s">
        <v>161</v>
      </c>
      <c r="D14" s="80">
        <f>D11/D43</f>
        <v>1.3943355119825708E-2</v>
      </c>
      <c r="E14" s="81" t="s">
        <v>161</v>
      </c>
      <c r="F14" s="80">
        <f>F11/F43</f>
        <v>4.4444444444444446E-2</v>
      </c>
      <c r="G14" s="81" t="s">
        <v>161</v>
      </c>
      <c r="H14" s="80">
        <f>H11/H43</f>
        <v>1.3943355119825708E-2</v>
      </c>
      <c r="I14" s="81" t="s">
        <v>161</v>
      </c>
    </row>
    <row r="15" spans="1:9" ht="16.5">
      <c r="A15" s="20" t="s">
        <v>112</v>
      </c>
      <c r="B15" s="81" t="s">
        <v>162</v>
      </c>
      <c r="C15" s="81" t="s">
        <v>162</v>
      </c>
      <c r="D15" s="80" t="s">
        <v>162</v>
      </c>
      <c r="E15" s="81" t="s">
        <v>162</v>
      </c>
      <c r="F15" s="81" t="s">
        <v>163</v>
      </c>
      <c r="G15" s="81" t="s">
        <v>163</v>
      </c>
      <c r="H15" s="81" t="s">
        <v>163</v>
      </c>
      <c r="I15" s="81" t="s">
        <v>163</v>
      </c>
    </row>
    <row r="16" spans="1:9" ht="15">
      <c r="A16" s="20" t="s">
        <v>132</v>
      </c>
      <c r="B16" s="80">
        <v>30</v>
      </c>
      <c r="C16" s="81">
        <v>30</v>
      </c>
      <c r="D16" s="81">
        <v>30</v>
      </c>
      <c r="E16" s="81">
        <v>30</v>
      </c>
      <c r="F16" s="81">
        <v>3</v>
      </c>
      <c r="G16" s="81">
        <v>3</v>
      </c>
      <c r="H16" s="81">
        <v>3</v>
      </c>
      <c r="I16" s="81">
        <v>3</v>
      </c>
    </row>
    <row r="17" spans="1:9" ht="15">
      <c r="A17" s="20" t="s">
        <v>9</v>
      </c>
      <c r="B17" s="81">
        <v>3</v>
      </c>
      <c r="C17" s="81">
        <v>3</v>
      </c>
      <c r="D17" s="80">
        <v>3</v>
      </c>
      <c r="E17" s="81">
        <v>3</v>
      </c>
      <c r="F17" s="81">
        <v>3</v>
      </c>
      <c r="G17" s="81">
        <v>3</v>
      </c>
      <c r="H17" s="81">
        <v>3</v>
      </c>
      <c r="I17" s="81">
        <v>3</v>
      </c>
    </row>
    <row r="18" spans="1:9">
      <c r="A18" s="19" t="s">
        <v>10</v>
      </c>
      <c r="B18" s="79"/>
      <c r="C18" s="79"/>
      <c r="D18" s="79"/>
      <c r="E18" s="79"/>
      <c r="F18" s="79"/>
      <c r="G18" s="79"/>
      <c r="H18" s="79"/>
      <c r="I18" s="79"/>
    </row>
    <row r="19" spans="1:9" ht="30">
      <c r="A19" s="20" t="s">
        <v>133</v>
      </c>
      <c r="B19" s="80">
        <v>1</v>
      </c>
      <c r="C19" s="80">
        <v>64</v>
      </c>
      <c r="D19" s="80">
        <v>64</v>
      </c>
      <c r="E19" s="81">
        <v>1</v>
      </c>
      <c r="F19" s="80">
        <v>1</v>
      </c>
      <c r="G19" s="80">
        <v>64</v>
      </c>
      <c r="H19" s="80">
        <v>64</v>
      </c>
      <c r="I19" s="81">
        <v>1</v>
      </c>
    </row>
    <row r="20" spans="1:9" ht="15">
      <c r="A20" s="20" t="s">
        <v>206</v>
      </c>
      <c r="B20" s="80">
        <v>1</v>
      </c>
      <c r="C20" s="80">
        <v>2</v>
      </c>
      <c r="D20" s="80">
        <v>2</v>
      </c>
      <c r="E20" s="81">
        <v>1</v>
      </c>
      <c r="F20" s="80">
        <v>1</v>
      </c>
      <c r="G20" s="80">
        <v>2</v>
      </c>
      <c r="H20" s="80">
        <v>2</v>
      </c>
      <c r="I20" s="81">
        <v>1</v>
      </c>
    </row>
    <row r="21" spans="1:9" ht="15">
      <c r="A21" s="20" t="s">
        <v>11</v>
      </c>
      <c r="B21" s="80">
        <v>23</v>
      </c>
      <c r="C21" s="80">
        <v>28</v>
      </c>
      <c r="D21" s="80">
        <v>28</v>
      </c>
      <c r="E21" s="81">
        <v>23</v>
      </c>
      <c r="F21" s="80">
        <v>23</v>
      </c>
      <c r="G21" s="80">
        <v>28</v>
      </c>
      <c r="H21" s="80">
        <v>28</v>
      </c>
      <c r="I21" s="81">
        <v>23</v>
      </c>
    </row>
    <row r="22" spans="1:9" ht="30">
      <c r="A22" s="41" t="s">
        <v>134</v>
      </c>
      <c r="B22" s="82">
        <f t="shared" ref="B22:I22" si="0">B21+10*LOG10(B19)</f>
        <v>23</v>
      </c>
      <c r="C22" s="82">
        <f t="shared" si="0"/>
        <v>46.061799739838875</v>
      </c>
      <c r="D22" s="82">
        <f t="shared" si="0"/>
        <v>46.061799739838875</v>
      </c>
      <c r="E22" s="82">
        <f t="shared" si="0"/>
        <v>23</v>
      </c>
      <c r="F22" s="82">
        <f t="shared" si="0"/>
        <v>23</v>
      </c>
      <c r="G22" s="82">
        <f t="shared" si="0"/>
        <v>46.061799739838875</v>
      </c>
      <c r="H22" s="82">
        <f t="shared" si="0"/>
        <v>46.061799739838875</v>
      </c>
      <c r="I22" s="82">
        <f t="shared" si="0"/>
        <v>23</v>
      </c>
    </row>
    <row r="23" spans="1:9" ht="15">
      <c r="A23" s="20" t="s">
        <v>12</v>
      </c>
      <c r="B23" s="80">
        <v>0</v>
      </c>
      <c r="C23" s="80">
        <v>8</v>
      </c>
      <c r="D23" s="80">
        <v>8</v>
      </c>
      <c r="E23" s="81">
        <v>0</v>
      </c>
      <c r="F23" s="80">
        <v>0</v>
      </c>
      <c r="G23" s="80">
        <v>8</v>
      </c>
      <c r="H23" s="80">
        <v>8</v>
      </c>
      <c r="I23" s="81">
        <v>0</v>
      </c>
    </row>
    <row r="24" spans="1:9" ht="45" customHeight="1">
      <c r="A24" s="42" t="s">
        <v>13</v>
      </c>
      <c r="B24" s="82">
        <f t="shared" ref="B24:I24" si="1">IF(B19&gt;=2, 10*LOG10(B19/2), 0)</f>
        <v>0</v>
      </c>
      <c r="C24" s="82">
        <f t="shared" si="1"/>
        <v>15.051499783199061</v>
      </c>
      <c r="D24" s="82">
        <f t="shared" si="1"/>
        <v>15.051499783199061</v>
      </c>
      <c r="E24" s="82">
        <f t="shared" si="1"/>
        <v>0</v>
      </c>
      <c r="F24" s="82">
        <f t="shared" si="1"/>
        <v>0</v>
      </c>
      <c r="G24" s="82">
        <f t="shared" si="1"/>
        <v>15.051499783199061</v>
      </c>
      <c r="H24" s="82">
        <f t="shared" si="1"/>
        <v>15.051499783199061</v>
      </c>
      <c r="I24" s="82">
        <f t="shared" si="1"/>
        <v>0</v>
      </c>
    </row>
    <row r="25" spans="1:9" ht="15">
      <c r="A25" s="20" t="s">
        <v>14</v>
      </c>
      <c r="B25" s="81">
        <v>0</v>
      </c>
      <c r="C25" s="80">
        <v>0</v>
      </c>
      <c r="D25" s="80">
        <v>0</v>
      </c>
      <c r="E25" s="81">
        <v>0</v>
      </c>
      <c r="F25" s="81">
        <v>0</v>
      </c>
      <c r="G25" s="80">
        <v>0</v>
      </c>
      <c r="H25" s="80">
        <v>0</v>
      </c>
      <c r="I25" s="81">
        <v>0</v>
      </c>
    </row>
    <row r="26" spans="1:9" ht="15">
      <c r="A26" s="20" t="s">
        <v>15</v>
      </c>
      <c r="B26" s="81">
        <v>0</v>
      </c>
      <c r="C26" s="80">
        <v>0</v>
      </c>
      <c r="D26" s="80">
        <v>0</v>
      </c>
      <c r="E26" s="81">
        <v>0</v>
      </c>
      <c r="F26" s="81">
        <v>0</v>
      </c>
      <c r="G26" s="80">
        <v>0</v>
      </c>
      <c r="H26" s="80">
        <v>0</v>
      </c>
      <c r="I26" s="81">
        <v>0</v>
      </c>
    </row>
    <row r="27" spans="1:9" ht="30">
      <c r="A27" s="20" t="s">
        <v>16</v>
      </c>
      <c r="B27" s="81">
        <v>1</v>
      </c>
      <c r="C27" s="80">
        <v>3</v>
      </c>
      <c r="D27" s="80">
        <v>3</v>
      </c>
      <c r="E27" s="81">
        <v>1</v>
      </c>
      <c r="F27" s="81">
        <v>1</v>
      </c>
      <c r="G27" s="80">
        <v>3</v>
      </c>
      <c r="H27" s="80">
        <v>3</v>
      </c>
      <c r="I27" s="81">
        <v>1</v>
      </c>
    </row>
    <row r="28" spans="1:9" ht="15">
      <c r="A28" s="25" t="s">
        <v>17</v>
      </c>
      <c r="B28" s="83">
        <f t="shared" ref="B28:I28" si="2">B22+B23+B24+B25-B27</f>
        <v>22</v>
      </c>
      <c r="C28" s="83">
        <f t="shared" si="2"/>
        <v>66.113299523037938</v>
      </c>
      <c r="D28" s="83">
        <f t="shared" si="2"/>
        <v>66.113299523037938</v>
      </c>
      <c r="E28" s="83">
        <f t="shared" si="2"/>
        <v>22</v>
      </c>
      <c r="F28" s="83">
        <f t="shared" si="2"/>
        <v>22</v>
      </c>
      <c r="G28" s="83">
        <f t="shared" si="2"/>
        <v>66.113299523037938</v>
      </c>
      <c r="H28" s="83">
        <f t="shared" si="2"/>
        <v>66.113299523037938</v>
      </c>
      <c r="I28" s="83">
        <f t="shared" si="2"/>
        <v>22</v>
      </c>
    </row>
    <row r="29" spans="1:9" ht="15">
      <c r="A29" s="25" t="s">
        <v>18</v>
      </c>
      <c r="B29" s="83">
        <f t="shared" ref="B29:I29" si="3">B22+B23+B24-B26-B27</f>
        <v>22</v>
      </c>
      <c r="C29" s="83">
        <f t="shared" si="3"/>
        <v>66.113299523037938</v>
      </c>
      <c r="D29" s="83">
        <f t="shared" si="3"/>
        <v>66.113299523037938</v>
      </c>
      <c r="E29" s="83">
        <f t="shared" si="3"/>
        <v>22</v>
      </c>
      <c r="F29" s="83">
        <f t="shared" si="3"/>
        <v>22</v>
      </c>
      <c r="G29" s="83">
        <f t="shared" si="3"/>
        <v>66.113299523037938</v>
      </c>
      <c r="H29" s="83">
        <f t="shared" si="3"/>
        <v>66.113299523037938</v>
      </c>
      <c r="I29" s="83">
        <f t="shared" si="3"/>
        <v>22</v>
      </c>
    </row>
    <row r="30" spans="1:9">
      <c r="A30" s="19" t="s">
        <v>19</v>
      </c>
      <c r="B30" s="79"/>
      <c r="C30" s="79"/>
      <c r="D30" s="79"/>
      <c r="E30" s="79"/>
      <c r="F30" s="79"/>
      <c r="G30" s="79"/>
      <c r="H30" s="79"/>
      <c r="I30" s="79"/>
    </row>
    <row r="31" spans="1:9" ht="30">
      <c r="A31" s="20" t="s">
        <v>135</v>
      </c>
      <c r="B31" s="80">
        <v>64</v>
      </c>
      <c r="C31" s="80">
        <v>2</v>
      </c>
      <c r="D31" s="80">
        <v>2</v>
      </c>
      <c r="E31" s="81">
        <v>64</v>
      </c>
      <c r="F31" s="80">
        <v>64</v>
      </c>
      <c r="G31" s="80">
        <v>2</v>
      </c>
      <c r="H31" s="80">
        <v>2</v>
      </c>
      <c r="I31" s="81">
        <v>64</v>
      </c>
    </row>
    <row r="32" spans="1:9" ht="15">
      <c r="A32" s="20" t="s">
        <v>207</v>
      </c>
      <c r="B32" s="80">
        <v>2</v>
      </c>
      <c r="C32" s="80">
        <v>2</v>
      </c>
      <c r="D32" s="80">
        <v>2</v>
      </c>
      <c r="E32" s="81">
        <v>2</v>
      </c>
      <c r="F32" s="80">
        <v>2</v>
      </c>
      <c r="G32" s="80">
        <v>2</v>
      </c>
      <c r="H32" s="80">
        <v>2</v>
      </c>
      <c r="I32" s="81">
        <v>2</v>
      </c>
    </row>
    <row r="33" spans="1:9" ht="15">
      <c r="A33" s="20" t="s">
        <v>20</v>
      </c>
      <c r="B33" s="80">
        <v>8</v>
      </c>
      <c r="C33" s="80">
        <v>0</v>
      </c>
      <c r="D33" s="80">
        <v>0</v>
      </c>
      <c r="E33" s="81">
        <v>8</v>
      </c>
      <c r="F33" s="80">
        <v>8</v>
      </c>
      <c r="G33" s="80">
        <v>0</v>
      </c>
      <c r="H33" s="80">
        <v>0</v>
      </c>
      <c r="I33" s="81">
        <v>8</v>
      </c>
    </row>
    <row r="34" spans="1:9" ht="28.5">
      <c r="A34" s="26" t="s">
        <v>104</v>
      </c>
      <c r="B34" s="82">
        <f t="shared" ref="B34:I34" si="4">IF(B31&gt;=2, 10*LOG10(B31/2), 0)</f>
        <v>15.051499783199061</v>
      </c>
      <c r="C34" s="82">
        <f t="shared" si="4"/>
        <v>0</v>
      </c>
      <c r="D34" s="82">
        <f t="shared" si="4"/>
        <v>0</v>
      </c>
      <c r="E34" s="82">
        <f t="shared" si="4"/>
        <v>15.051499783199061</v>
      </c>
      <c r="F34" s="82">
        <f t="shared" si="4"/>
        <v>15.051499783199061</v>
      </c>
      <c r="G34" s="82">
        <f t="shared" si="4"/>
        <v>0</v>
      </c>
      <c r="H34" s="82">
        <f t="shared" si="4"/>
        <v>0</v>
      </c>
      <c r="I34" s="82">
        <f t="shared" si="4"/>
        <v>15.051499783199061</v>
      </c>
    </row>
    <row r="35" spans="1:9" ht="30">
      <c r="A35" s="20" t="s">
        <v>21</v>
      </c>
      <c r="B35" s="81">
        <v>3</v>
      </c>
      <c r="C35" s="80">
        <v>1</v>
      </c>
      <c r="D35" s="80">
        <v>1</v>
      </c>
      <c r="E35" s="84">
        <v>3</v>
      </c>
      <c r="F35" s="81">
        <v>3</v>
      </c>
      <c r="G35" s="80">
        <v>1</v>
      </c>
      <c r="H35" s="80">
        <v>1</v>
      </c>
      <c r="I35" s="84">
        <v>3</v>
      </c>
    </row>
    <row r="36" spans="1:9" ht="15">
      <c r="A36" s="20" t="s">
        <v>22</v>
      </c>
      <c r="B36" s="81">
        <v>5</v>
      </c>
      <c r="C36" s="80">
        <v>7</v>
      </c>
      <c r="D36" s="80">
        <v>7</v>
      </c>
      <c r="E36" s="81">
        <v>5</v>
      </c>
      <c r="F36" s="81">
        <v>5</v>
      </c>
      <c r="G36" s="80">
        <v>7</v>
      </c>
      <c r="H36" s="80">
        <v>7</v>
      </c>
      <c r="I36" s="81">
        <v>5</v>
      </c>
    </row>
    <row r="37" spans="1:9" ht="15">
      <c r="A37" s="20" t="s">
        <v>23</v>
      </c>
      <c r="B37" s="33">
        <v>-174</v>
      </c>
      <c r="C37" s="33">
        <v>-174</v>
      </c>
      <c r="D37" s="33">
        <v>-174</v>
      </c>
      <c r="E37" s="34">
        <v>-174</v>
      </c>
      <c r="F37" s="33">
        <v>-174</v>
      </c>
      <c r="G37" s="33">
        <v>-174</v>
      </c>
      <c r="H37" s="33">
        <v>-174</v>
      </c>
      <c r="I37" s="34">
        <v>-174</v>
      </c>
    </row>
    <row r="38" spans="1:9" ht="30">
      <c r="A38" s="20" t="s">
        <v>24</v>
      </c>
      <c r="B38" s="34" t="s">
        <v>161</v>
      </c>
      <c r="C38" s="33">
        <v>-169.3</v>
      </c>
      <c r="D38" s="33" t="s">
        <v>161</v>
      </c>
      <c r="E38" s="34">
        <v>-161.69999999999999</v>
      </c>
      <c r="F38" s="34" t="s">
        <v>161</v>
      </c>
      <c r="G38" s="33">
        <v>-169.3</v>
      </c>
      <c r="H38" s="33" t="s">
        <v>161</v>
      </c>
      <c r="I38" s="34">
        <v>-161.69999999999999</v>
      </c>
    </row>
    <row r="39" spans="1:9" ht="15">
      <c r="A39" s="20" t="s">
        <v>25</v>
      </c>
      <c r="B39" s="34">
        <v>-165.7</v>
      </c>
      <c r="C39" s="33" t="s">
        <v>161</v>
      </c>
      <c r="D39" s="33">
        <v>-169.3</v>
      </c>
      <c r="E39" s="34" t="s">
        <v>161</v>
      </c>
      <c r="F39" s="34">
        <v>-165.7</v>
      </c>
      <c r="G39" s="33" t="s">
        <v>161</v>
      </c>
      <c r="H39" s="33">
        <v>-169.3</v>
      </c>
      <c r="I39" s="34" t="s">
        <v>161</v>
      </c>
    </row>
    <row r="40" spans="1:9" ht="30">
      <c r="A40" s="25" t="s">
        <v>45</v>
      </c>
      <c r="B40" s="92" t="s">
        <v>210</v>
      </c>
      <c r="C40" s="92">
        <f t="shared" ref="C40:I40" si="5">10*LOG10(10^((C36+C37)/10)+10^(C38/10))</f>
        <v>-164.98918835931039</v>
      </c>
      <c r="D40" s="92" t="s">
        <v>210</v>
      </c>
      <c r="E40" s="92">
        <f t="shared" si="5"/>
        <v>-160.9583889004532</v>
      </c>
      <c r="F40" s="92" t="s">
        <v>210</v>
      </c>
      <c r="G40" s="92">
        <f t="shared" si="5"/>
        <v>-164.98918835931039</v>
      </c>
      <c r="H40" s="92" t="s">
        <v>210</v>
      </c>
      <c r="I40" s="92">
        <f t="shared" si="5"/>
        <v>-160.9583889004532</v>
      </c>
    </row>
    <row r="41" spans="1:9" ht="30">
      <c r="A41" s="25" t="s">
        <v>46</v>
      </c>
      <c r="B41" s="92">
        <f t="shared" ref="B41:H41" si="6">10*LOG10(10^((B36+B37)/10)+10^(B39/10))</f>
        <v>-164.03352307536667</v>
      </c>
      <c r="C41" s="92" t="s">
        <v>210</v>
      </c>
      <c r="D41" s="92">
        <f t="shared" si="6"/>
        <v>-164.98918835931039</v>
      </c>
      <c r="E41" s="92" t="s">
        <v>210</v>
      </c>
      <c r="F41" s="92">
        <f t="shared" si="6"/>
        <v>-164.03352307536667</v>
      </c>
      <c r="G41" s="92" t="s">
        <v>210</v>
      </c>
      <c r="H41" s="92">
        <f t="shared" si="6"/>
        <v>-164.98918835931039</v>
      </c>
      <c r="I41" s="92" t="s">
        <v>210</v>
      </c>
    </row>
    <row r="42" spans="1:9" ht="30">
      <c r="A42" s="20" t="s">
        <v>26</v>
      </c>
      <c r="B42" s="33" t="s">
        <v>161</v>
      </c>
      <c r="C42" s="33">
        <f>MaxN_RB!$F$7*12*30*1000</f>
        <v>18360000</v>
      </c>
      <c r="D42" s="33" t="s">
        <v>161</v>
      </c>
      <c r="E42" s="33">
        <f>1*12*30*1000</f>
        <v>360000</v>
      </c>
      <c r="F42" s="33" t="s">
        <v>161</v>
      </c>
      <c r="G42" s="33">
        <f>MaxN_RB!$F$7*12*30*1000</f>
        <v>18360000</v>
      </c>
      <c r="H42" s="33" t="s">
        <v>161</v>
      </c>
      <c r="I42" s="33">
        <f>1*12*30*1000</f>
        <v>360000</v>
      </c>
    </row>
    <row r="43" spans="1:9" ht="30">
      <c r="A43" s="20" t="s">
        <v>27</v>
      </c>
      <c r="B43" s="33">
        <f>16*12*30*1000</f>
        <v>5760000</v>
      </c>
      <c r="C43" s="33" t="s">
        <v>161</v>
      </c>
      <c r="D43" s="33">
        <f>MaxN_RB!$F$7*12*30*1000</f>
        <v>18360000</v>
      </c>
      <c r="E43" s="33" t="s">
        <v>161</v>
      </c>
      <c r="F43" s="33">
        <f>16*12*30*1000</f>
        <v>5760000</v>
      </c>
      <c r="G43" s="33" t="s">
        <v>161</v>
      </c>
      <c r="H43" s="33">
        <f>MaxN_RB!$F$7*12*30*1000</f>
        <v>18360000</v>
      </c>
      <c r="I43" s="33" t="s">
        <v>161</v>
      </c>
    </row>
    <row r="44" spans="1:9" ht="15">
      <c r="A44" s="25" t="s">
        <v>28</v>
      </c>
      <c r="B44" s="92" t="s">
        <v>210</v>
      </c>
      <c r="C44" s="92">
        <f t="shared" ref="B44:C45" si="7">C40+10*LOG10(C42)</f>
        <v>-92.350461590658156</v>
      </c>
      <c r="D44" s="92" t="s">
        <v>210</v>
      </c>
      <c r="E44" s="92">
        <f t="shared" ref="E44:I45" si="8">E40+10*LOG10(E42)</f>
        <v>-105.39536389278032</v>
      </c>
      <c r="F44" s="92" t="s">
        <v>210</v>
      </c>
      <c r="G44" s="92">
        <f t="shared" si="8"/>
        <v>-92.350461590658156</v>
      </c>
      <c r="H44" s="92" t="s">
        <v>210</v>
      </c>
      <c r="I44" s="92">
        <f t="shared" si="8"/>
        <v>-105.39536389278032</v>
      </c>
    </row>
    <row r="45" spans="1:9" ht="15">
      <c r="A45" s="25" t="s">
        <v>29</v>
      </c>
      <c r="B45" s="92">
        <f t="shared" si="7"/>
        <v>-96.42929824113456</v>
      </c>
      <c r="C45" s="92" t="s">
        <v>210</v>
      </c>
      <c r="D45" s="92">
        <f>D41+10*LOG10(D43)</f>
        <v>-92.350461590658156</v>
      </c>
      <c r="E45" s="92" t="s">
        <v>210</v>
      </c>
      <c r="F45" s="92">
        <f t="shared" si="8"/>
        <v>-96.42929824113456</v>
      </c>
      <c r="G45" s="92" t="s">
        <v>210</v>
      </c>
      <c r="H45" s="92">
        <f t="shared" si="8"/>
        <v>-92.350461590658156</v>
      </c>
      <c r="I45" s="92" t="s">
        <v>210</v>
      </c>
    </row>
    <row r="46" spans="1:9" ht="15">
      <c r="A46" s="20" t="s">
        <v>30</v>
      </c>
      <c r="B46" s="60" t="s">
        <v>161</v>
      </c>
      <c r="C46" s="60">
        <v>-2.7</v>
      </c>
      <c r="D46" s="70" t="s">
        <v>161</v>
      </c>
      <c r="E46" s="60">
        <v>4.2</v>
      </c>
      <c r="F46" s="65" t="s">
        <v>161</v>
      </c>
      <c r="G46" s="65">
        <v>-2.7</v>
      </c>
      <c r="H46" s="70" t="s">
        <v>161</v>
      </c>
      <c r="I46" s="65">
        <v>4.2</v>
      </c>
    </row>
    <row r="47" spans="1:9" ht="15">
      <c r="A47" s="20" t="s">
        <v>31</v>
      </c>
      <c r="B47" s="60">
        <v>-2</v>
      </c>
      <c r="C47" s="70" t="s">
        <v>161</v>
      </c>
      <c r="D47" s="60">
        <v>-2.5</v>
      </c>
      <c r="E47" s="70" t="s">
        <v>161</v>
      </c>
      <c r="F47" s="65">
        <v>-1.9</v>
      </c>
      <c r="G47" s="70" t="s">
        <v>161</v>
      </c>
      <c r="H47" s="65">
        <v>-2.4</v>
      </c>
      <c r="I47" s="70" t="s">
        <v>161</v>
      </c>
    </row>
    <row r="48" spans="1:9" ht="15">
      <c r="A48" s="20" t="s">
        <v>32</v>
      </c>
      <c r="B48" s="50">
        <v>2</v>
      </c>
      <c r="C48" s="33">
        <v>2</v>
      </c>
      <c r="D48" s="33">
        <v>2</v>
      </c>
      <c r="E48" s="33">
        <v>2</v>
      </c>
      <c r="F48" s="50">
        <v>2</v>
      </c>
      <c r="G48" s="33">
        <v>2</v>
      </c>
      <c r="H48" s="33">
        <v>2</v>
      </c>
      <c r="I48" s="33">
        <v>2</v>
      </c>
    </row>
    <row r="49" spans="1:9" ht="15">
      <c r="A49" s="20" t="s">
        <v>33</v>
      </c>
      <c r="B49" s="50" t="s">
        <v>161</v>
      </c>
      <c r="C49" s="33">
        <v>0</v>
      </c>
      <c r="D49" s="33" t="s">
        <v>161</v>
      </c>
      <c r="E49" s="33">
        <v>0</v>
      </c>
      <c r="F49" s="50" t="s">
        <v>161</v>
      </c>
      <c r="G49" s="33">
        <v>0</v>
      </c>
      <c r="H49" s="33" t="s">
        <v>161</v>
      </c>
      <c r="I49" s="33">
        <v>0</v>
      </c>
    </row>
    <row r="50" spans="1:9" ht="15">
      <c r="A50" s="20" t="s">
        <v>34</v>
      </c>
      <c r="B50" s="50">
        <v>0.5</v>
      </c>
      <c r="C50" s="33" t="s">
        <v>161</v>
      </c>
      <c r="D50" s="33">
        <v>0.5</v>
      </c>
      <c r="E50" s="33" t="s">
        <v>161</v>
      </c>
      <c r="F50" s="50">
        <v>0.5</v>
      </c>
      <c r="G50" s="33" t="s">
        <v>161</v>
      </c>
      <c r="H50" s="33">
        <v>0.5</v>
      </c>
      <c r="I50" s="33" t="s">
        <v>161</v>
      </c>
    </row>
    <row r="51" spans="1:9" ht="15">
      <c r="A51" s="25" t="s">
        <v>47</v>
      </c>
      <c r="B51" s="92" t="s">
        <v>210</v>
      </c>
      <c r="C51" s="92">
        <f t="shared" ref="C51:I51" si="9">C44+C46+C48-C49</f>
        <v>-93.050461590658159</v>
      </c>
      <c r="D51" s="92" t="s">
        <v>210</v>
      </c>
      <c r="E51" s="92">
        <f t="shared" si="9"/>
        <v>-99.195363892780321</v>
      </c>
      <c r="F51" s="92" t="s">
        <v>210</v>
      </c>
      <c r="G51" s="92">
        <f t="shared" si="9"/>
        <v>-93.050461590658159</v>
      </c>
      <c r="H51" s="92" t="s">
        <v>210</v>
      </c>
      <c r="I51" s="92">
        <f t="shared" si="9"/>
        <v>-99.195363892780321</v>
      </c>
    </row>
    <row r="52" spans="1:9" ht="15">
      <c r="A52" s="25" t="s">
        <v>48</v>
      </c>
      <c r="B52" s="92">
        <f t="shared" ref="B52:H52" si="10">B45+B47+B48-B50</f>
        <v>-96.92929824113456</v>
      </c>
      <c r="C52" s="92" t="s">
        <v>210</v>
      </c>
      <c r="D52" s="92">
        <f t="shared" si="10"/>
        <v>-93.350461590658156</v>
      </c>
      <c r="E52" s="92" t="s">
        <v>210</v>
      </c>
      <c r="F52" s="92">
        <f t="shared" si="10"/>
        <v>-96.829298241134566</v>
      </c>
      <c r="G52" s="92" t="s">
        <v>210</v>
      </c>
      <c r="H52" s="92">
        <f t="shared" si="10"/>
        <v>-93.250461590658162</v>
      </c>
      <c r="I52" s="92" t="s">
        <v>210</v>
      </c>
    </row>
    <row r="53" spans="1:9" ht="15">
      <c r="A53" s="27" t="s">
        <v>117</v>
      </c>
      <c r="B53" s="92" t="s">
        <v>210</v>
      </c>
      <c r="C53" s="92">
        <f t="shared" ref="C53:I53" si="11">C28+C33+C34-C51</f>
        <v>159.1637611136961</v>
      </c>
      <c r="D53" s="92" t="s">
        <v>210</v>
      </c>
      <c r="E53" s="92">
        <f t="shared" si="11"/>
        <v>144.2468636759794</v>
      </c>
      <c r="F53" s="92" t="s">
        <v>210</v>
      </c>
      <c r="G53" s="92">
        <f t="shared" si="11"/>
        <v>159.1637611136961</v>
      </c>
      <c r="H53" s="92" t="s">
        <v>210</v>
      </c>
      <c r="I53" s="92">
        <f t="shared" si="11"/>
        <v>144.2468636759794</v>
      </c>
    </row>
    <row r="54" spans="1:9" ht="15">
      <c r="A54" s="27" t="s">
        <v>118</v>
      </c>
      <c r="B54" s="92">
        <f t="shared" ref="B54:H54" si="12">B29+B33+B34-B52</f>
        <v>141.98079802433364</v>
      </c>
      <c r="C54" s="92" t="s">
        <v>210</v>
      </c>
      <c r="D54" s="92">
        <f t="shared" si="12"/>
        <v>159.46376111369608</v>
      </c>
      <c r="E54" s="92" t="s">
        <v>210</v>
      </c>
      <c r="F54" s="92">
        <f t="shared" si="12"/>
        <v>141.88079802433361</v>
      </c>
      <c r="G54" s="92" t="s">
        <v>210</v>
      </c>
      <c r="H54" s="92">
        <f t="shared" si="12"/>
        <v>159.36376111369611</v>
      </c>
      <c r="I54" s="92" t="s">
        <v>210</v>
      </c>
    </row>
    <row r="55" spans="1:9">
      <c r="A55" s="19" t="s">
        <v>35</v>
      </c>
      <c r="B55" s="32"/>
      <c r="C55" s="32"/>
      <c r="D55" s="32"/>
      <c r="E55" s="32"/>
      <c r="F55" s="32"/>
      <c r="G55" s="32"/>
      <c r="H55" s="32"/>
      <c r="I55" s="32"/>
    </row>
    <row r="56" spans="1:9" ht="15">
      <c r="A56" s="20" t="s">
        <v>36</v>
      </c>
      <c r="B56" s="34">
        <v>6</v>
      </c>
      <c r="C56" s="34">
        <v>6</v>
      </c>
      <c r="D56" s="33">
        <v>6</v>
      </c>
      <c r="E56" s="34">
        <v>6</v>
      </c>
      <c r="F56" s="34">
        <v>6</v>
      </c>
      <c r="G56" s="34">
        <v>6</v>
      </c>
      <c r="H56" s="34">
        <v>6</v>
      </c>
      <c r="I56" s="34">
        <v>6</v>
      </c>
    </row>
    <row r="57" spans="1:9" ht="30">
      <c r="A57" s="20" t="s">
        <v>37</v>
      </c>
      <c r="B57" s="33" t="s">
        <v>68</v>
      </c>
      <c r="C57" s="34">
        <v>8.11</v>
      </c>
      <c r="D57" s="33" t="s">
        <v>68</v>
      </c>
      <c r="E57" s="34">
        <v>8.11</v>
      </c>
      <c r="F57" s="33" t="s">
        <v>68</v>
      </c>
      <c r="G57" s="34">
        <v>8.3000000000000007</v>
      </c>
      <c r="H57" s="33" t="s">
        <v>68</v>
      </c>
      <c r="I57" s="34">
        <v>8.3000000000000007</v>
      </c>
    </row>
    <row r="58" spans="1:9" ht="30">
      <c r="A58" s="20" t="s">
        <v>38</v>
      </c>
      <c r="B58" s="33">
        <v>4.8899999999999997</v>
      </c>
      <c r="C58" s="34" t="s">
        <v>68</v>
      </c>
      <c r="D58" s="33">
        <v>4.8899999999999997</v>
      </c>
      <c r="E58" s="34" t="s">
        <v>68</v>
      </c>
      <c r="F58" s="33">
        <v>5.0999999999999996</v>
      </c>
      <c r="G58" s="34" t="s">
        <v>68</v>
      </c>
      <c r="H58" s="33">
        <v>5.0999999999999996</v>
      </c>
      <c r="I58" s="34" t="s">
        <v>68</v>
      </c>
    </row>
    <row r="59" spans="1:9" ht="15">
      <c r="A59" s="20" t="s">
        <v>39</v>
      </c>
      <c r="B59" s="34">
        <v>0</v>
      </c>
      <c r="C59" s="34">
        <v>0</v>
      </c>
      <c r="D59" s="33">
        <v>0</v>
      </c>
      <c r="E59" s="34">
        <v>0</v>
      </c>
      <c r="F59" s="34">
        <v>0</v>
      </c>
      <c r="G59" s="34">
        <v>0</v>
      </c>
      <c r="H59" s="34">
        <v>0</v>
      </c>
      <c r="I59" s="34">
        <v>0</v>
      </c>
    </row>
    <row r="60" spans="1:9" ht="15">
      <c r="A60" s="20" t="s">
        <v>40</v>
      </c>
      <c r="B60" s="33">
        <v>9</v>
      </c>
      <c r="C60" s="33">
        <v>9</v>
      </c>
      <c r="D60" s="33">
        <v>9</v>
      </c>
      <c r="E60" s="33">
        <v>9</v>
      </c>
      <c r="F60" s="33">
        <f>10.24+0.5*25/3</f>
        <v>14.406666666666666</v>
      </c>
      <c r="G60" s="33">
        <f>10.24+0.5*25/3</f>
        <v>14.406666666666666</v>
      </c>
      <c r="H60" s="33">
        <f>10.24+0.5*25/3</f>
        <v>14.406666666666666</v>
      </c>
      <c r="I60" s="33">
        <f>10.24+0.5*25/3</f>
        <v>14.406666666666666</v>
      </c>
    </row>
    <row r="61" spans="1:9" ht="15">
      <c r="A61" s="20" t="s">
        <v>41</v>
      </c>
      <c r="B61" s="34">
        <v>0</v>
      </c>
      <c r="C61" s="34">
        <v>0</v>
      </c>
      <c r="D61" s="33">
        <v>0</v>
      </c>
      <c r="E61" s="34">
        <v>0</v>
      </c>
      <c r="F61" s="34">
        <v>0</v>
      </c>
      <c r="G61" s="34">
        <v>0</v>
      </c>
      <c r="H61" s="34">
        <v>0</v>
      </c>
      <c r="I61" s="34">
        <v>0</v>
      </c>
    </row>
    <row r="62" spans="1:9" ht="30">
      <c r="A62" s="25" t="s">
        <v>54</v>
      </c>
      <c r="B62" s="92" t="s">
        <v>210</v>
      </c>
      <c r="C62" s="92">
        <f t="shared" ref="C62:I62" si="13">C53-C57+C59-C60+C61-C35</f>
        <v>141.05376111369611</v>
      </c>
      <c r="D62" s="92" t="s">
        <v>210</v>
      </c>
      <c r="E62" s="92">
        <f t="shared" si="13"/>
        <v>124.13686367597938</v>
      </c>
      <c r="F62" s="92" t="s">
        <v>210</v>
      </c>
      <c r="G62" s="92">
        <f t="shared" si="13"/>
        <v>135.45709444702942</v>
      </c>
      <c r="H62" s="92" t="s">
        <v>210</v>
      </c>
      <c r="I62" s="92">
        <f t="shared" si="13"/>
        <v>118.54019700931272</v>
      </c>
    </row>
    <row r="63" spans="1:9" ht="30">
      <c r="A63" s="25" t="s">
        <v>49</v>
      </c>
      <c r="B63" s="92">
        <f t="shared" ref="B63:H63" si="14">B54-B58+B59-B60+B61-B35</f>
        <v>125.09079802433365</v>
      </c>
      <c r="C63" s="92" t="s">
        <v>210</v>
      </c>
      <c r="D63" s="92">
        <f t="shared" si="14"/>
        <v>144.57376111369609</v>
      </c>
      <c r="E63" s="92" t="s">
        <v>210</v>
      </c>
      <c r="F63" s="92">
        <f t="shared" si="14"/>
        <v>119.37413135766695</v>
      </c>
      <c r="G63" s="92" t="s">
        <v>210</v>
      </c>
      <c r="H63" s="92">
        <f t="shared" si="14"/>
        <v>138.85709444702945</v>
      </c>
      <c r="I63" s="92" t="s">
        <v>210</v>
      </c>
    </row>
    <row r="64" spans="1:9">
      <c r="A64" s="19" t="s">
        <v>42</v>
      </c>
      <c r="B64" s="32"/>
      <c r="C64" s="32"/>
      <c r="D64" s="32"/>
      <c r="E64" s="32"/>
      <c r="F64" s="32"/>
      <c r="G64" s="32"/>
      <c r="H64" s="32"/>
      <c r="I64" s="32"/>
    </row>
    <row r="65" spans="1:9" ht="30">
      <c r="A65" s="29" t="s">
        <v>43</v>
      </c>
      <c r="B65" s="34"/>
      <c r="C65" s="34">
        <f>10^((C62-13.54-20*LOG10(C$5)+0.6*(C$7-1.5))/39.08)</f>
        <v>2198.6940350458572</v>
      </c>
      <c r="D65" s="34"/>
      <c r="E65" s="34">
        <f>10^((E62-13.54-20*LOG10(E$5)+0.6*(E$7-1.5))/39.08)</f>
        <v>811.49557016881147</v>
      </c>
      <c r="F65" s="34"/>
      <c r="G65" s="34">
        <f>10^((G62-13.54-20*LOG10(G$5)+0.6*(G$7-1.5))/39.08)</f>
        <v>1581.0816192294069</v>
      </c>
      <c r="H65" s="34"/>
      <c r="I65" s="34">
        <f>10^((I62-13.54-20*LOG10(I$5)+0.6*(I$7-1.5))/39.08)</f>
        <v>583.54673712171996</v>
      </c>
    </row>
    <row r="66" spans="1:9" ht="30">
      <c r="A66" s="29" t="s">
        <v>44</v>
      </c>
      <c r="B66" s="34">
        <f>10^((B63-13.54-20*LOG10(B$5)+0.6*(B$7-1.5))/39.08)</f>
        <v>858.41231036459692</v>
      </c>
      <c r="C66" s="34" t="s">
        <v>105</v>
      </c>
      <c r="D66" s="34">
        <f>10^((D63-13.54-20*LOG10(D$5)+0.6*(D$7-1.5))/39.08)</f>
        <v>2705.4309005929822</v>
      </c>
      <c r="E66" s="34" t="s">
        <v>105</v>
      </c>
      <c r="F66" s="34">
        <f>10^((F63-13.54-20*LOG10(F$5)+0.6*(F$7-1.5))/39.08)</f>
        <v>612.93554076928945</v>
      </c>
      <c r="G66" s="34" t="s">
        <v>105</v>
      </c>
      <c r="H66" s="34">
        <f>10^((H63-13.54-20*LOG10(H$5)+0.6*(H$7-1.5))/39.08)</f>
        <v>1931.7695378396804</v>
      </c>
      <c r="I66" s="34" t="s">
        <v>105</v>
      </c>
    </row>
    <row r="67" spans="1:9" ht="18">
      <c r="A67" s="29" t="s">
        <v>120</v>
      </c>
      <c r="B67" s="34" t="s">
        <v>68</v>
      </c>
      <c r="C67" s="34">
        <f>PI()*(C65)^2</f>
        <v>15187261.437915115</v>
      </c>
      <c r="D67" s="34" t="s">
        <v>68</v>
      </c>
      <c r="E67" s="34">
        <f>PI()*(E65)^2</f>
        <v>2068817.4919687384</v>
      </c>
      <c r="F67" s="34" t="s">
        <v>68</v>
      </c>
      <c r="G67" s="34">
        <f>PI()*(G65)^2</f>
        <v>7853413.277970572</v>
      </c>
      <c r="H67" s="34" t="s">
        <v>68</v>
      </c>
      <c r="I67" s="34">
        <f>PI()*(I65)^2</f>
        <v>1069796.4756545045</v>
      </c>
    </row>
    <row r="68" spans="1:9" ht="18">
      <c r="A68" s="29" t="s">
        <v>121</v>
      </c>
      <c r="B68" s="34">
        <f>PI()*(B66)^2</f>
        <v>2314950.7023480213</v>
      </c>
      <c r="C68" s="34" t="s">
        <v>68</v>
      </c>
      <c r="D68" s="34">
        <f>PI()*(D66)^2</f>
        <v>22994436.16293209</v>
      </c>
      <c r="E68" s="34" t="s">
        <v>68</v>
      </c>
      <c r="F68" s="34">
        <f>PI()*(F66)^2</f>
        <v>1180264.8722045019</v>
      </c>
      <c r="G68" s="34" t="s">
        <v>68</v>
      </c>
      <c r="H68" s="34">
        <f>PI()*(H66)^2</f>
        <v>11723586.697431844</v>
      </c>
      <c r="I68" s="34" t="s">
        <v>68</v>
      </c>
    </row>
    <row r="72" spans="1:9" ht="15">
      <c r="A72" s="43"/>
      <c r="B72" s="44"/>
      <c r="C72" s="44"/>
      <c r="D72" s="44"/>
      <c r="E72" s="44"/>
      <c r="F72" s="45"/>
      <c r="G72" s="45"/>
      <c r="H72" s="45"/>
      <c r="I72" s="45"/>
    </row>
    <row r="73" spans="1:9" ht="15">
      <c r="A73" s="43" t="s">
        <v>214</v>
      </c>
      <c r="B73" s="44"/>
      <c r="C73" s="44"/>
      <c r="D73" s="44"/>
      <c r="E73" s="44"/>
      <c r="F73" s="45"/>
      <c r="G73" s="45"/>
      <c r="H73" s="45"/>
      <c r="I73" s="45"/>
    </row>
  </sheetData>
  <mergeCells count="4">
    <mergeCell ref="G1:I1"/>
    <mergeCell ref="F2:G2"/>
    <mergeCell ref="C1:E1"/>
    <mergeCell ref="B2:C2"/>
  </mergeCells>
  <phoneticPr fontId="1" type="noConversion"/>
  <pageMargins left="0.75" right="0.75" top="1" bottom="1" header="0.5" footer="0.5"/>
  <pageSetup paperSize="9" orientation="portrait" r:id="rId1"/>
  <headerFooter alignWithMargins="0">
    <oddHeader>&amp;L&amp;G&amp;C&amp;F&amp;R文档密级</oddHeader>
    <oddFooter>&amp;L&amp;D&amp;C华为机密，未经许可不得扩散&amp;R第&amp;P页，共&amp;N页</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I25" sqref="I25"/>
    </sheetView>
  </sheetViews>
  <sheetFormatPr defaultRowHeight="14.25"/>
  <cols>
    <col min="1" max="16384" width="9" style="2"/>
  </cols>
  <sheetData>
    <row r="1" spans="1:16">
      <c r="A1"/>
      <c r="B1" s="3" t="s">
        <v>69</v>
      </c>
      <c r="C1"/>
      <c r="D1"/>
      <c r="E1"/>
      <c r="F1"/>
      <c r="G1"/>
      <c r="H1"/>
      <c r="I1"/>
      <c r="J1"/>
      <c r="K1"/>
      <c r="L1"/>
      <c r="M1"/>
      <c r="N1"/>
      <c r="O1"/>
      <c r="P1"/>
    </row>
    <row r="2" spans="1:16" ht="15" thickBot="1">
      <c r="A2"/>
      <c r="B2" s="4" t="s">
        <v>70</v>
      </c>
      <c r="C2"/>
      <c r="D2"/>
      <c r="E2"/>
      <c r="F2"/>
      <c r="G2"/>
      <c r="H2"/>
      <c r="I2"/>
      <c r="J2"/>
      <c r="K2"/>
      <c r="L2"/>
      <c r="M2"/>
      <c r="N2"/>
      <c r="O2"/>
      <c r="P2"/>
    </row>
    <row r="3" spans="1:16">
      <c r="A3"/>
      <c r="B3" s="105" t="s">
        <v>71</v>
      </c>
      <c r="C3" s="105" t="s">
        <v>72</v>
      </c>
      <c r="D3" s="105" t="s">
        <v>73</v>
      </c>
      <c r="E3" s="105" t="s">
        <v>74</v>
      </c>
      <c r="F3" s="105" t="s">
        <v>75</v>
      </c>
      <c r="G3" s="105" t="s">
        <v>76</v>
      </c>
      <c r="H3" s="105" t="s">
        <v>77</v>
      </c>
      <c r="I3" s="105" t="s">
        <v>78</v>
      </c>
      <c r="J3" s="105" t="s">
        <v>79</v>
      </c>
      <c r="K3" s="105" t="s">
        <v>80</v>
      </c>
      <c r="L3" s="5">
        <v>70</v>
      </c>
      <c r="M3" s="105" t="s">
        <v>81</v>
      </c>
      <c r="N3" s="105" t="s">
        <v>82</v>
      </c>
      <c r="O3" s="105" t="s">
        <v>83</v>
      </c>
      <c r="P3"/>
    </row>
    <row r="4" spans="1:16" ht="15" thickBot="1">
      <c r="A4"/>
      <c r="B4" s="109"/>
      <c r="C4" s="106"/>
      <c r="D4" s="106"/>
      <c r="E4" s="106"/>
      <c r="F4" s="106"/>
      <c r="G4" s="106"/>
      <c r="H4" s="106"/>
      <c r="I4" s="106"/>
      <c r="J4" s="106"/>
      <c r="K4" s="106"/>
      <c r="L4" s="6" t="s">
        <v>84</v>
      </c>
      <c r="M4" s="106"/>
      <c r="N4" s="106"/>
      <c r="O4" s="106"/>
      <c r="P4"/>
    </row>
    <row r="5" spans="1:16" ht="15" thickBot="1">
      <c r="A5"/>
      <c r="B5" s="106"/>
      <c r="C5" s="7" t="s">
        <v>85</v>
      </c>
      <c r="D5" s="7" t="s">
        <v>85</v>
      </c>
      <c r="E5" s="7" t="s">
        <v>85</v>
      </c>
      <c r="F5" s="7" t="s">
        <v>85</v>
      </c>
      <c r="G5" s="7" t="s">
        <v>85</v>
      </c>
      <c r="H5" s="7" t="s">
        <v>85</v>
      </c>
      <c r="I5" s="7" t="s">
        <v>85</v>
      </c>
      <c r="J5" s="7" t="s">
        <v>85</v>
      </c>
      <c r="K5" s="7" t="s">
        <v>85</v>
      </c>
      <c r="L5" s="7" t="s">
        <v>85</v>
      </c>
      <c r="M5" s="7" t="s">
        <v>85</v>
      </c>
      <c r="N5" s="7" t="s">
        <v>85</v>
      </c>
      <c r="O5" s="7" t="s">
        <v>85</v>
      </c>
      <c r="P5"/>
    </row>
    <row r="6" spans="1:16" ht="15" thickBot="1">
      <c r="A6"/>
      <c r="B6" s="8">
        <v>15</v>
      </c>
      <c r="C6" s="9">
        <v>25</v>
      </c>
      <c r="D6" s="9">
        <v>52</v>
      </c>
      <c r="E6" s="9">
        <v>79</v>
      </c>
      <c r="F6" s="9">
        <v>106</v>
      </c>
      <c r="G6" s="9">
        <v>133</v>
      </c>
      <c r="H6" s="9">
        <v>160</v>
      </c>
      <c r="I6" s="9">
        <v>216</v>
      </c>
      <c r="J6" s="9">
        <v>270</v>
      </c>
      <c r="K6" s="9" t="s">
        <v>86</v>
      </c>
      <c r="L6" s="9" t="s">
        <v>87</v>
      </c>
      <c r="M6" s="9" t="s">
        <v>86</v>
      </c>
      <c r="N6" s="9" t="s">
        <v>86</v>
      </c>
      <c r="O6" s="9" t="s">
        <v>86</v>
      </c>
      <c r="P6"/>
    </row>
    <row r="7" spans="1:16" ht="15" thickBot="1">
      <c r="A7"/>
      <c r="B7" s="8">
        <v>30</v>
      </c>
      <c r="C7" s="9">
        <v>11</v>
      </c>
      <c r="D7" s="9">
        <v>24</v>
      </c>
      <c r="E7" s="9">
        <v>38</v>
      </c>
      <c r="F7" s="9">
        <v>51</v>
      </c>
      <c r="G7" s="9">
        <v>65</v>
      </c>
      <c r="H7" s="9">
        <v>78</v>
      </c>
      <c r="I7" s="9">
        <v>106</v>
      </c>
      <c r="J7" s="9">
        <v>133</v>
      </c>
      <c r="K7" s="9">
        <v>162</v>
      </c>
      <c r="L7" s="9">
        <v>189</v>
      </c>
      <c r="M7" s="9">
        <v>217</v>
      </c>
      <c r="N7" s="9">
        <v>245</v>
      </c>
      <c r="O7" s="9">
        <v>273</v>
      </c>
      <c r="P7"/>
    </row>
    <row r="8" spans="1:16" ht="15" thickBot="1">
      <c r="A8"/>
      <c r="B8" s="8">
        <v>60</v>
      </c>
      <c r="C8" s="9" t="s">
        <v>86</v>
      </c>
      <c r="D8" s="9">
        <v>11</v>
      </c>
      <c r="E8" s="9">
        <v>18</v>
      </c>
      <c r="F8" s="9">
        <v>24</v>
      </c>
      <c r="G8" s="9">
        <v>31</v>
      </c>
      <c r="H8" s="9">
        <v>38</v>
      </c>
      <c r="I8" s="9">
        <v>51</v>
      </c>
      <c r="J8" s="9">
        <v>65</v>
      </c>
      <c r="K8" s="9">
        <v>79</v>
      </c>
      <c r="L8" s="9">
        <v>93</v>
      </c>
      <c r="M8" s="9">
        <v>107</v>
      </c>
      <c r="N8" s="9">
        <v>121</v>
      </c>
      <c r="O8" s="9">
        <v>135</v>
      </c>
      <c r="P8"/>
    </row>
    <row r="9" spans="1:16">
      <c r="A9"/>
      <c r="B9"/>
      <c r="C9"/>
      <c r="D9"/>
      <c r="E9"/>
      <c r="F9"/>
      <c r="G9"/>
      <c r="H9"/>
      <c r="I9"/>
      <c r="J9"/>
      <c r="K9"/>
      <c r="L9"/>
      <c r="M9"/>
      <c r="N9"/>
      <c r="O9"/>
      <c r="P9"/>
    </row>
    <row r="10" spans="1:16" ht="15" thickBot="1">
      <c r="A10"/>
      <c r="B10" s="4" t="s">
        <v>88</v>
      </c>
      <c r="C10"/>
      <c r="D10"/>
      <c r="E10"/>
      <c r="F10"/>
      <c r="G10"/>
      <c r="H10"/>
      <c r="I10"/>
      <c r="J10"/>
      <c r="K10"/>
      <c r="L10"/>
      <c r="M10"/>
      <c r="N10"/>
      <c r="O10"/>
      <c r="P10"/>
    </row>
    <row r="11" spans="1:16" ht="15" thickBot="1">
      <c r="A11"/>
      <c r="B11" s="107" t="s">
        <v>89</v>
      </c>
      <c r="C11" s="10" t="s">
        <v>90</v>
      </c>
      <c r="D11" s="10" t="s">
        <v>91</v>
      </c>
      <c r="E11" s="10" t="s">
        <v>92</v>
      </c>
      <c r="F11" s="10" t="s">
        <v>93</v>
      </c>
      <c r="G11"/>
      <c r="H11"/>
      <c r="I11"/>
      <c r="J11"/>
      <c r="K11"/>
      <c r="L11"/>
      <c r="M11"/>
      <c r="N11"/>
      <c r="O11"/>
      <c r="P11"/>
    </row>
    <row r="12" spans="1:16" ht="15" thickBot="1">
      <c r="A12"/>
      <c r="B12" s="108"/>
      <c r="C12" s="11" t="s">
        <v>85</v>
      </c>
      <c r="D12" s="11" t="s">
        <v>85</v>
      </c>
      <c r="E12" s="11" t="s">
        <v>85</v>
      </c>
      <c r="F12" s="11" t="s">
        <v>85</v>
      </c>
      <c r="G12"/>
      <c r="H12"/>
      <c r="I12"/>
      <c r="J12"/>
      <c r="K12"/>
      <c r="L12"/>
      <c r="M12"/>
      <c r="N12"/>
      <c r="O12"/>
      <c r="P12"/>
    </row>
    <row r="13" spans="1:16" ht="15" thickBot="1">
      <c r="A13"/>
      <c r="B13" s="12">
        <v>60</v>
      </c>
      <c r="C13" s="13">
        <v>66</v>
      </c>
      <c r="D13" s="13">
        <v>132</v>
      </c>
      <c r="E13" s="13">
        <v>264</v>
      </c>
      <c r="F13" s="13" t="s">
        <v>87</v>
      </c>
      <c r="G13"/>
      <c r="H13"/>
      <c r="I13"/>
      <c r="J13"/>
      <c r="K13"/>
      <c r="L13"/>
      <c r="M13"/>
      <c r="N13"/>
      <c r="O13"/>
      <c r="P13"/>
    </row>
    <row r="14" spans="1:16" ht="15" thickBot="1">
      <c r="A14"/>
      <c r="B14" s="12">
        <v>120</v>
      </c>
      <c r="C14" s="13">
        <v>32</v>
      </c>
      <c r="D14" s="13">
        <v>66</v>
      </c>
      <c r="E14" s="13">
        <v>132</v>
      </c>
      <c r="F14" s="13">
        <v>264</v>
      </c>
      <c r="G14"/>
      <c r="H14"/>
      <c r="I14"/>
      <c r="J14"/>
      <c r="K14"/>
      <c r="L14"/>
      <c r="M14"/>
      <c r="N14"/>
      <c r="O14"/>
      <c r="P14"/>
    </row>
    <row r="15" spans="1:16">
      <c r="A15"/>
      <c r="B15"/>
      <c r="C15"/>
      <c r="D15"/>
      <c r="E15"/>
      <c r="F15"/>
      <c r="G15"/>
      <c r="H15"/>
      <c r="I15"/>
      <c r="J15"/>
      <c r="K15"/>
      <c r="L15"/>
      <c r="M15"/>
      <c r="N15"/>
      <c r="O15"/>
      <c r="P15"/>
    </row>
  </sheetData>
  <mergeCells count="14">
    <mergeCell ref="O3:O4"/>
    <mergeCell ref="B11:B12"/>
    <mergeCell ref="H3:H4"/>
    <mergeCell ref="I3:I4"/>
    <mergeCell ref="J3:J4"/>
    <mergeCell ref="K3:K4"/>
    <mergeCell ref="M3:M4"/>
    <mergeCell ref="N3:N4"/>
    <mergeCell ref="B3:B5"/>
    <mergeCell ref="C3:C4"/>
    <mergeCell ref="D3:D4"/>
    <mergeCell ref="E3:E4"/>
    <mergeCell ref="F3:F4"/>
    <mergeCell ref="G3:G4"/>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General Notes</vt:lpstr>
      <vt:lpstr>InH-eMBB (4GHz, NR DDDSU)</vt:lpstr>
      <vt:lpstr>InH-eMBB (4GHz, NR DSUUD)</vt:lpstr>
      <vt:lpstr>DU-eMBB (4GHz, NR DDDSU)</vt:lpstr>
      <vt:lpstr>DU-eMBB (4GHz, NR DSUUD)</vt:lpstr>
      <vt:lpstr>Rural-eMBB (700MHz, NR FDD)</vt:lpstr>
      <vt:lpstr>Rural-eMBB (700MHz, NR DSUUD)</vt:lpstr>
      <vt:lpstr>UMa-mMTC (NB-IoT)</vt:lpstr>
      <vt:lpstr>UMa-URLLC (700MHz NR)</vt:lpstr>
      <vt:lpstr>MaxN_RB</vt:lpstr>
      <vt:lpstr>'InH-eMBB (4GHz, NR DDDSU)'!OLE_LINK1</vt:lpstr>
    </vt:vector>
  </TitlesOfParts>
  <Company>Huawei Technologies Co.,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dingyang</dc:creator>
  <cp:lastModifiedBy>ITU</cp:lastModifiedBy>
  <cp:lastPrinted>2006-01-19T03:50:08Z</cp:lastPrinted>
  <dcterms:created xsi:type="dcterms:W3CDTF">2003-11-11T03:59:45Z</dcterms:created>
  <dcterms:modified xsi:type="dcterms:W3CDTF">2018-10-01T14:34:54Z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
SpQXKoG3kDrHxbtwjjI2bTOdUwIkYr/W5/+ylhwSIPBkBSDq6AQyWQGUv+jLThg3nrFatU8D
RxtLhhYzX+BOVOjRyKSUGFoqvbhe2mN9kaXYBU4xRuexYD0ZYCcYqGJrDgubNmnPhNmEYf4a
+x3adntaFX6SA9Biln0bE</vt:lpwstr>
  </property>
  <property fmtid="{D5CDD505-2E9C-101B-9397-08002B2CF9AE}" pid="3" name="_ms_pID_7253431">
    <vt:lpwstr>D8O3VmwI+Z+PlISGjFExb4WrgeTq4XPkfm0hCre81xp56PEebhl
XYYXFD11XlLvvike5JRQtmqtTp4NshrAT8MsoZP7ICMzMUYFkHT930bCAaaAhcJX/MpzdKQQ
4Hyq5K+q74HwhApKetItk1FOE2x06JQRrdmUyTTBnHF0jbdXNYG1uTWPm9eJFNsKgN98Nr25
s3UqtHQxxlK3pQexaSvmzHwV41HRA6xXiARy3iGtqp</vt:lpwstr>
  </property>
  <property fmtid="{D5CDD505-2E9C-101B-9397-08002B2CF9AE}" pid="4" name="_ms_pID_7253432">
    <vt:lpwstr>oNeTSWQYm0V5/MXRxHPt5ydn4yE2/u
OQM/XRq8IseLeSeO9Eh/26gAvz5+qhierc1T8lvMZuPaU36C/9G9PuxqRsVgLFiPPxNFudRA
AGuFqScwKMQtVeOuWcxq2qiNRCNBrGLp0A0L1Uba+TxrBvw/TowZdC4rQ07UpqVflcfepn32
QtuRfZiZW20W7j/yyk5RsN1Kd44oVQTQuz4kuVKSNALeLaLc5hVkRqeL3TvVNn/</vt:lpwstr>
  </property>
  <property fmtid="{D5CDD505-2E9C-101B-9397-08002B2CF9AE}" pid="5" name="_ms_pID_7253433">
    <vt:lpwstr>OZ31sW5W4
1++nvbQyLnNmMOnfXeqLBhOdakc=</vt:lpwstr>
  </property>
  <property fmtid="{D5CDD505-2E9C-101B-9397-08002B2CF9AE}" pid="6" name="_2015_ms_pID_725343">
    <vt:lpwstr>(3)JvVx+Bo/QZjTQ3CzJQfyAcMbHlywdj3qBqURS+VUHIeXNF0HQ6bBGj5vn77c4+5T9eAsCG+i
MhHYpUmy5y9B6oZZMfoJ/3Bq2Y49OLmuuUjzLHekG2A/0xlKmS9Mx8kbxtlriKsEzsUrG2nb
seF+AGmhfOHQUBb5a6GTopGQquDvAK+gmSFocZgWlWI7iyIni8+mFcn3tU8WVTm/SVkoJxjS
JatUrZn9voVSa73Fg+</vt:lpwstr>
  </property>
  <property fmtid="{D5CDD505-2E9C-101B-9397-08002B2CF9AE}" pid="7" name="_2015_ms_pID_7253431">
    <vt:lpwstr>0OWtfvxD7/q6cXXwTVarxpxPp/0Ju7IL8yWOoIbP6lRD+Ym/SpR62C
rCKS/ONGmKhIreyMEzoPqZ2gc4JdcIYiCyWmEo9cnQnctvMVIZIErFQhnwZKx5yWJU7V4hlz
jYyPuhozj3+p7ISJQj86hLgNJY6jfG1IJ8vfhQVYY1OvZ6xG5KuZ+eAVRSmLkkw/Nu8G9La0
Gx+HCUDQrPpkSVjPuJjC6Z9aiOtnbzDTMLOn</vt:lpwstr>
  </property>
  <property fmtid="{D5CDD505-2E9C-101B-9397-08002B2CF9AE}" pid="8" name="_2015_ms_pID_7253432">
    <vt:lpwstr>eavNGfHsKQotSLyCSbQ4nYM=</vt:lpwstr>
  </property>
  <property fmtid="{D5CDD505-2E9C-101B-9397-08002B2CF9AE}" pid="9" name="_readonly">
    <vt:lpwstr/>
  </property>
  <property fmtid="{D5CDD505-2E9C-101B-9397-08002B2CF9AE}" pid="10" name="_change">
    <vt:lpwstr/>
  </property>
  <property fmtid="{D5CDD505-2E9C-101B-9397-08002B2CF9AE}" pid="11" name="_full-control">
    <vt:lpwstr/>
  </property>
  <property fmtid="{D5CDD505-2E9C-101B-9397-08002B2CF9AE}" pid="12" name="sflag">
    <vt:lpwstr>1536759033</vt:lpwstr>
  </property>
</Properties>
</file>