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BRSGD\TEXT2018\SG05\WP5D\1000\"/>
    </mc:Choice>
  </mc:AlternateContent>
  <bookViews>
    <workbookView xWindow="0" yWindow="0" windowWidth="24000" windowHeight="14235" tabRatio="923" firstSheet="6" activeTab="13"/>
  </bookViews>
  <sheets>
    <sheet name="Revision comments" sheetId="59" r:id="rId1"/>
    <sheet name="DL_Para_700MHz" sheetId="105" r:id="rId2"/>
    <sheet name="UL_Para_700MHz" sheetId="107" r:id="rId3"/>
    <sheet name="DL_Para_4GHz" sheetId="98" r:id="rId4"/>
    <sheet name="UL_Para_4GHz" sheetId="101" r:id="rId5"/>
    <sheet name="DL_Para_LMLC" sheetId="108" r:id="rId6"/>
    <sheet name="UL_Para_LMLC" sheetId="109" r:id="rId7"/>
    <sheet name="DL_OH_Para" sheetId="104" r:id="rId8"/>
    <sheet name="UL_OH_Para" sheetId="100" r:id="rId9"/>
    <sheet name="DL_OH" sheetId="112" r:id="rId10"/>
    <sheet name="UL_OH" sheetId="114" r:id="rId11"/>
    <sheet name="Results_700MHz" sheetId="102" r:id="rId12"/>
    <sheet name="Results_4GHz" sheetId="110" r:id="rId13"/>
    <sheet name="Results_LMLC" sheetId="111" r:id="rId14"/>
    <sheet name="Results_700MHz_LargerBW" sheetId="115" r:id="rId15"/>
    <sheet name="Results_4GHz_LargerBW" sheetId="116" r:id="rId16"/>
    <sheet name="Results_LMLC_LargerBW" sheetId="117" r:id="rId17"/>
  </sheets>
  <calcPr calcId="162913"/>
</workbook>
</file>

<file path=xl/calcChain.xml><?xml version="1.0" encoding="utf-8"?>
<calcChain xmlns="http://schemas.openxmlformats.org/spreadsheetml/2006/main">
  <c r="L30" i="114" l="1"/>
  <c r="G30" i="114"/>
  <c r="O30" i="114" s="1"/>
  <c r="F30" i="114"/>
  <c r="E30" i="114"/>
  <c r="D30" i="114"/>
  <c r="M30" i="114" s="1"/>
  <c r="N30" i="114" s="1"/>
  <c r="O10" i="114"/>
  <c r="L10" i="114"/>
  <c r="F10" i="114"/>
  <c r="E10" i="114"/>
  <c r="D10" i="114"/>
  <c r="M10" i="114" s="1"/>
  <c r="P30" i="114" l="1"/>
  <c r="Q30" i="114" s="1"/>
  <c r="R30" i="114" s="1"/>
  <c r="N10" i="114"/>
  <c r="P10" i="114"/>
  <c r="Q10" i="114" s="1"/>
  <c r="R10" i="114" s="1"/>
  <c r="J88" i="110"/>
  <c r="J87" i="110"/>
  <c r="J72" i="110"/>
  <c r="J71" i="110"/>
  <c r="AB16" i="110" l="1"/>
  <c r="AA16" i="110"/>
  <c r="Z16" i="110"/>
  <c r="AB15" i="110"/>
  <c r="AA15" i="110"/>
  <c r="Z15" i="110"/>
  <c r="AD28" i="116"/>
  <c r="AC28" i="116"/>
  <c r="AB28" i="116"/>
  <c r="AD25" i="116"/>
  <c r="AC25" i="116"/>
  <c r="AB25" i="116"/>
  <c r="AB22" i="102"/>
  <c r="AA22" i="102"/>
  <c r="Z22" i="102"/>
  <c r="AB21" i="102"/>
  <c r="AA21" i="102"/>
  <c r="Z21" i="102"/>
  <c r="AC139" i="115"/>
  <c r="AB139" i="115"/>
  <c r="AA139" i="115"/>
  <c r="AC138" i="115"/>
  <c r="AB138" i="115"/>
  <c r="AA138" i="115"/>
  <c r="AC136" i="115"/>
  <c r="AB136" i="115"/>
  <c r="AA136" i="115"/>
  <c r="AC135" i="115"/>
  <c r="AB135" i="115"/>
  <c r="AA135" i="115"/>
  <c r="AC133" i="115"/>
  <c r="AB133" i="115"/>
  <c r="AA133" i="115"/>
  <c r="AC132" i="115"/>
  <c r="AB132" i="115"/>
  <c r="AA132" i="115"/>
  <c r="AC130" i="115"/>
  <c r="AB130" i="115"/>
  <c r="AA130" i="115"/>
  <c r="AC129" i="115"/>
  <c r="AB129" i="115"/>
  <c r="AA129" i="115"/>
  <c r="AC127" i="115"/>
  <c r="AB127" i="115"/>
  <c r="AA127" i="115"/>
  <c r="AC126" i="115"/>
  <c r="AB126" i="115"/>
  <c r="AA126" i="115"/>
  <c r="AC110" i="115"/>
  <c r="AB110" i="115"/>
  <c r="AA110" i="115"/>
  <c r="AC109" i="115"/>
  <c r="AB109" i="115"/>
  <c r="AA109" i="115"/>
  <c r="AC82" i="115"/>
  <c r="AB82" i="115"/>
  <c r="AA82" i="115"/>
  <c r="AC81" i="115"/>
  <c r="AB81" i="115"/>
  <c r="AA81" i="115"/>
  <c r="AC80" i="115"/>
  <c r="AB80" i="115"/>
  <c r="AA80" i="115"/>
  <c r="AC79" i="115"/>
  <c r="AB79" i="115"/>
  <c r="AA79" i="115"/>
  <c r="AC50" i="115"/>
  <c r="AB50" i="115"/>
  <c r="AA50" i="115"/>
  <c r="AC47" i="115"/>
  <c r="AB47" i="115"/>
  <c r="AA47" i="115"/>
  <c r="AC43" i="115"/>
  <c r="AB43" i="115"/>
  <c r="AA43" i="115"/>
  <c r="AC40" i="115"/>
  <c r="AB40" i="115"/>
  <c r="AA40" i="115"/>
  <c r="AC35" i="115"/>
  <c r="AB35" i="115"/>
  <c r="AA35" i="115"/>
  <c r="AC32" i="115"/>
  <c r="AB32" i="115"/>
  <c r="AA32" i="115"/>
  <c r="AC30" i="115"/>
  <c r="AB30" i="115"/>
  <c r="AA30" i="115"/>
  <c r="AC29" i="115"/>
  <c r="AB29" i="115"/>
  <c r="AA29" i="115"/>
  <c r="AC28" i="115"/>
  <c r="AB28" i="115"/>
  <c r="AA28" i="115"/>
  <c r="AC27" i="115"/>
  <c r="AB27" i="115"/>
  <c r="AA27" i="115"/>
  <c r="AC26" i="115"/>
  <c r="AB26" i="115"/>
  <c r="AA26" i="115"/>
  <c r="AC25" i="115"/>
  <c r="AB25" i="115"/>
  <c r="AA25" i="115"/>
  <c r="AC21" i="115"/>
  <c r="AB21" i="115"/>
  <c r="AA21" i="115"/>
  <c r="AC18" i="115"/>
  <c r="AB18" i="115"/>
  <c r="AA18" i="115"/>
  <c r="AC14" i="115"/>
  <c r="AB14" i="115"/>
  <c r="AA14" i="115"/>
  <c r="AC11" i="115"/>
  <c r="AB11" i="115"/>
  <c r="AA11" i="115"/>
  <c r="AC6" i="115"/>
  <c r="AB6" i="115"/>
  <c r="AA6" i="115"/>
  <c r="AC3" i="115"/>
  <c r="AB3" i="115"/>
  <c r="AA3" i="115"/>
  <c r="AA128" i="117" l="1"/>
  <c r="Z128" i="117"/>
  <c r="Y128" i="117"/>
  <c r="AA125" i="117"/>
  <c r="Z125" i="117"/>
  <c r="Y125" i="117"/>
  <c r="P125" i="117"/>
  <c r="O125" i="117"/>
  <c r="N125" i="117"/>
  <c r="AA124" i="117"/>
  <c r="Z124" i="117"/>
  <c r="Y124" i="117"/>
  <c r="AA122" i="117"/>
  <c r="Z122" i="117"/>
  <c r="Y122" i="117"/>
  <c r="AA121" i="117"/>
  <c r="Z121" i="117"/>
  <c r="Y121" i="117"/>
  <c r="P106" i="117"/>
  <c r="O106" i="117"/>
  <c r="N106" i="117"/>
  <c r="P105" i="117"/>
  <c r="O105" i="117"/>
  <c r="N105" i="117"/>
  <c r="AA103" i="117"/>
  <c r="Z103" i="117"/>
  <c r="Y103" i="117"/>
  <c r="AA102" i="117"/>
  <c r="Z102" i="117"/>
  <c r="Y102" i="117"/>
  <c r="AA96" i="117"/>
  <c r="Z96" i="117"/>
  <c r="Y96" i="117"/>
  <c r="AA95" i="117"/>
  <c r="Z95" i="117"/>
  <c r="Y95" i="117"/>
  <c r="AA88" i="117"/>
  <c r="Z88" i="117"/>
  <c r="Y88" i="117"/>
  <c r="AA87" i="117"/>
  <c r="Z87" i="117"/>
  <c r="Y87" i="117"/>
  <c r="AA86" i="117"/>
  <c r="Z86" i="117"/>
  <c r="Y86" i="117"/>
  <c r="AA85" i="117"/>
  <c r="Z85" i="117"/>
  <c r="Y85" i="117"/>
  <c r="AA72" i="117"/>
  <c r="Z72" i="117"/>
  <c r="Y72" i="117"/>
  <c r="P72" i="117"/>
  <c r="O72" i="117"/>
  <c r="N72" i="117"/>
  <c r="AA71" i="117"/>
  <c r="Z71" i="117"/>
  <c r="Y71" i="117"/>
  <c r="P71" i="117"/>
  <c r="O71" i="117"/>
  <c r="N71" i="117"/>
  <c r="AA70" i="117"/>
  <c r="Z70" i="117"/>
  <c r="Y70" i="117"/>
  <c r="AA69" i="117"/>
  <c r="Z69" i="117"/>
  <c r="Y69" i="117"/>
  <c r="AA67" i="117"/>
  <c r="Z67" i="117"/>
  <c r="Y67" i="117"/>
  <c r="AA66" i="117"/>
  <c r="Z66" i="117"/>
  <c r="Y66" i="117"/>
  <c r="AA65" i="117"/>
  <c r="Z65" i="117"/>
  <c r="Y65" i="117"/>
  <c r="AA64" i="117"/>
  <c r="Z64" i="117"/>
  <c r="Y64" i="117"/>
  <c r="AA35" i="117"/>
  <c r="Z35" i="117"/>
  <c r="Y35" i="117"/>
  <c r="P35" i="117"/>
  <c r="O35" i="117"/>
  <c r="N35" i="117"/>
  <c r="AA32" i="117"/>
  <c r="Z32" i="117"/>
  <c r="Y32" i="117"/>
  <c r="P32" i="117"/>
  <c r="O32" i="117"/>
  <c r="N32" i="117"/>
  <c r="P30" i="117"/>
  <c r="O30" i="117"/>
  <c r="N30" i="117"/>
  <c r="P29" i="117"/>
  <c r="O29" i="117"/>
  <c r="N29" i="117"/>
  <c r="AA28" i="117"/>
  <c r="Z28" i="117"/>
  <c r="Y28" i="117"/>
  <c r="P28" i="117"/>
  <c r="O28" i="117"/>
  <c r="N28" i="117"/>
  <c r="P27" i="117"/>
  <c r="O27" i="117"/>
  <c r="N27" i="117"/>
  <c r="P26" i="117"/>
  <c r="O26" i="117"/>
  <c r="N26" i="117"/>
  <c r="AA25" i="117"/>
  <c r="Z25" i="117"/>
  <c r="Y25" i="117"/>
  <c r="P25" i="117"/>
  <c r="O25" i="117"/>
  <c r="N25" i="117"/>
  <c r="P24" i="117"/>
  <c r="O24" i="117"/>
  <c r="N24" i="117"/>
  <c r="AA23" i="117"/>
  <c r="Z23" i="117"/>
  <c r="Y23" i="117"/>
  <c r="AA22" i="117"/>
  <c r="Z22" i="117"/>
  <c r="Y22" i="117"/>
  <c r="AA21" i="117"/>
  <c r="Z21" i="117"/>
  <c r="Y21" i="117"/>
  <c r="AA20" i="117"/>
  <c r="Z20" i="117"/>
  <c r="Y20" i="117"/>
  <c r="AA19" i="117"/>
  <c r="Z19" i="117"/>
  <c r="Y19" i="117"/>
  <c r="AA18" i="117"/>
  <c r="Z18" i="117"/>
  <c r="Y18" i="117"/>
  <c r="AA13" i="117"/>
  <c r="Z13" i="117"/>
  <c r="Y13" i="117"/>
  <c r="P13" i="117"/>
  <c r="O13" i="117"/>
  <c r="N13" i="117"/>
  <c r="AA10" i="117"/>
  <c r="Z10" i="117"/>
  <c r="Y10" i="117"/>
  <c r="P10" i="117"/>
  <c r="O10" i="117"/>
  <c r="N10" i="117"/>
  <c r="AA6" i="117"/>
  <c r="Z6" i="117"/>
  <c r="Y6" i="117"/>
  <c r="AA3" i="117"/>
  <c r="Z3" i="117"/>
  <c r="Y3" i="117"/>
  <c r="V1" i="117"/>
  <c r="U1" i="117"/>
  <c r="T1" i="117"/>
  <c r="R173" i="116"/>
  <c r="Q173" i="116"/>
  <c r="P173" i="116"/>
  <c r="R172" i="116"/>
  <c r="Q172" i="116"/>
  <c r="P172" i="116"/>
  <c r="R170" i="116"/>
  <c r="Q170" i="116"/>
  <c r="P170" i="116"/>
  <c r="R169" i="116"/>
  <c r="Q169" i="116"/>
  <c r="P169" i="116"/>
  <c r="AD163" i="116"/>
  <c r="AC163" i="116"/>
  <c r="AB163" i="116"/>
  <c r="AD162" i="116"/>
  <c r="AC162" i="116"/>
  <c r="AB162" i="116"/>
  <c r="AD160" i="116"/>
  <c r="AC160" i="116"/>
  <c r="AB160" i="116"/>
  <c r="AD159" i="116"/>
  <c r="AC159" i="116"/>
  <c r="AB159" i="116"/>
  <c r="AD138" i="116"/>
  <c r="AC138" i="116"/>
  <c r="AB138" i="116"/>
  <c r="AD137" i="116"/>
  <c r="AC137" i="116"/>
  <c r="AB137" i="116"/>
  <c r="R128" i="116"/>
  <c r="Q128" i="116"/>
  <c r="P128" i="116"/>
  <c r="R127" i="116"/>
  <c r="Q127" i="116"/>
  <c r="P127" i="116"/>
  <c r="R126" i="116"/>
  <c r="Q126" i="116"/>
  <c r="P126" i="116"/>
  <c r="R125" i="116"/>
  <c r="Q125" i="116"/>
  <c r="P125" i="116"/>
  <c r="R124" i="116"/>
  <c r="Q124" i="116"/>
  <c r="P124" i="116"/>
  <c r="R123" i="116"/>
  <c r="Q123" i="116"/>
  <c r="P123" i="116"/>
  <c r="AD122" i="116"/>
  <c r="R121" i="116"/>
  <c r="Q121" i="116"/>
  <c r="P121" i="116"/>
  <c r="R120" i="116"/>
  <c r="Q120" i="116"/>
  <c r="P120" i="116"/>
  <c r="R119" i="116"/>
  <c r="Q119" i="116"/>
  <c r="P119" i="116"/>
  <c r="R118" i="116"/>
  <c r="Q118" i="116"/>
  <c r="P118" i="116"/>
  <c r="R117" i="116"/>
  <c r="Q117" i="116"/>
  <c r="P117" i="116"/>
  <c r="R116" i="116"/>
  <c r="Q116" i="116"/>
  <c r="P116" i="116"/>
  <c r="AD107" i="116"/>
  <c r="AC107" i="116"/>
  <c r="AB107" i="116"/>
  <c r="AD106" i="116"/>
  <c r="AC106" i="116"/>
  <c r="AB106" i="116"/>
  <c r="AD105" i="116"/>
  <c r="AC105" i="116"/>
  <c r="AB105" i="116"/>
  <c r="AD104" i="116"/>
  <c r="AC104" i="116"/>
  <c r="AB104" i="116"/>
  <c r="R102" i="116"/>
  <c r="Q102" i="116"/>
  <c r="P102" i="116"/>
  <c r="R101" i="116"/>
  <c r="Q101" i="116"/>
  <c r="P101" i="116"/>
  <c r="R100" i="116"/>
  <c r="Q100" i="116"/>
  <c r="P100" i="116"/>
  <c r="R99" i="116"/>
  <c r="Q99" i="116"/>
  <c r="P99" i="116"/>
  <c r="R98" i="116"/>
  <c r="Q98" i="116"/>
  <c r="P98" i="116"/>
  <c r="R97" i="116"/>
  <c r="Q97" i="116"/>
  <c r="P97" i="116"/>
  <c r="AD95" i="116"/>
  <c r="AC95" i="116"/>
  <c r="AB95" i="116"/>
  <c r="AD94" i="116"/>
  <c r="AC94" i="116"/>
  <c r="AB94" i="116"/>
  <c r="AD93" i="116"/>
  <c r="AC93" i="116"/>
  <c r="AB93" i="116"/>
  <c r="AD92" i="116"/>
  <c r="AC92" i="116"/>
  <c r="AB92" i="116"/>
  <c r="AD91" i="116"/>
  <c r="AC91" i="116"/>
  <c r="AB91" i="116"/>
  <c r="AD90" i="116"/>
  <c r="AC90" i="116"/>
  <c r="AB90" i="116"/>
  <c r="AD88" i="116"/>
  <c r="AC88" i="116"/>
  <c r="AB88" i="116"/>
  <c r="AD87" i="116"/>
  <c r="AC87" i="116"/>
  <c r="AB87" i="116"/>
  <c r="AD86" i="116"/>
  <c r="AC86" i="116"/>
  <c r="AB86" i="116"/>
  <c r="AD85" i="116"/>
  <c r="AC85" i="116"/>
  <c r="AB85" i="116"/>
  <c r="AD82" i="116"/>
  <c r="AC82" i="116"/>
  <c r="AB82" i="116"/>
  <c r="AD81" i="116"/>
  <c r="AC81" i="116"/>
  <c r="AB81" i="116"/>
  <c r="AD80" i="116"/>
  <c r="AC80" i="116"/>
  <c r="AB80" i="116"/>
  <c r="R80" i="116"/>
  <c r="Q80" i="116"/>
  <c r="P80" i="116"/>
  <c r="AD79" i="116"/>
  <c r="AC79" i="116"/>
  <c r="AB79" i="116"/>
  <c r="AD78" i="116"/>
  <c r="AC78" i="116"/>
  <c r="AB78" i="116"/>
  <c r="AD77" i="116"/>
  <c r="AC77" i="116"/>
  <c r="AB77" i="116"/>
  <c r="R77" i="116"/>
  <c r="Q77" i="116"/>
  <c r="P77" i="116"/>
  <c r="AD70" i="116"/>
  <c r="AC70" i="116"/>
  <c r="AB70" i="116"/>
  <c r="AD69" i="116"/>
  <c r="AC69" i="116"/>
  <c r="AB69" i="116"/>
  <c r="AD68" i="116"/>
  <c r="AC68" i="116"/>
  <c r="AB68" i="116"/>
  <c r="AD67" i="116"/>
  <c r="AC67" i="116"/>
  <c r="AB67" i="116"/>
  <c r="AD51" i="116"/>
  <c r="AC51" i="116"/>
  <c r="AB51" i="116"/>
  <c r="AD50" i="116"/>
  <c r="AC50" i="116"/>
  <c r="AB50" i="116"/>
  <c r="AD49" i="116"/>
  <c r="AC49" i="116"/>
  <c r="AB49" i="116"/>
  <c r="R49" i="116"/>
  <c r="Q49" i="116"/>
  <c r="P49" i="116"/>
  <c r="AD48" i="116"/>
  <c r="AC48" i="116"/>
  <c r="AB48" i="116"/>
  <c r="AD47" i="116"/>
  <c r="AC47" i="116"/>
  <c r="AB47" i="116"/>
  <c r="AD46" i="116"/>
  <c r="AC46" i="116"/>
  <c r="AB46" i="116"/>
  <c r="R46" i="116"/>
  <c r="Q46" i="116"/>
  <c r="P46" i="116"/>
  <c r="R44" i="116"/>
  <c r="Q44" i="116"/>
  <c r="P44" i="116"/>
  <c r="R43" i="116"/>
  <c r="Q43" i="116"/>
  <c r="P43" i="116"/>
  <c r="AD42" i="116"/>
  <c r="AC42" i="116"/>
  <c r="AB42" i="116"/>
  <c r="R42" i="116"/>
  <c r="Q42" i="116"/>
  <c r="P42" i="116"/>
  <c r="R41" i="116"/>
  <c r="Q41" i="116"/>
  <c r="P41" i="116"/>
  <c r="R40" i="116"/>
  <c r="Q40" i="116"/>
  <c r="P40" i="116"/>
  <c r="AD39" i="116"/>
  <c r="AC39" i="116"/>
  <c r="AB39" i="116"/>
  <c r="R39" i="116"/>
  <c r="Q39" i="116"/>
  <c r="P39" i="116"/>
  <c r="AD37" i="116"/>
  <c r="AC37" i="116"/>
  <c r="AB37" i="116"/>
  <c r="AD36" i="116"/>
  <c r="AC36" i="116"/>
  <c r="AB36" i="116"/>
  <c r="AD35" i="116"/>
  <c r="AC35" i="116"/>
  <c r="AB35" i="116"/>
  <c r="R35" i="116"/>
  <c r="Q35" i="116"/>
  <c r="P35" i="116"/>
  <c r="AD34" i="116"/>
  <c r="AC34" i="116"/>
  <c r="AB34" i="116"/>
  <c r="AD33" i="116"/>
  <c r="AC33" i="116"/>
  <c r="AB33" i="116"/>
  <c r="AD32" i="116"/>
  <c r="AC32" i="116"/>
  <c r="AB32" i="116"/>
  <c r="R32" i="116"/>
  <c r="Q32" i="116"/>
  <c r="P32" i="116"/>
  <c r="R28" i="116"/>
  <c r="Q28" i="116"/>
  <c r="P28" i="116"/>
  <c r="R25" i="116"/>
  <c r="Q25" i="116"/>
  <c r="P25" i="116"/>
  <c r="R24" i="116"/>
  <c r="Q24" i="116"/>
  <c r="P24" i="116"/>
  <c r="AD20" i="116"/>
  <c r="AC20" i="116"/>
  <c r="AB20" i="116"/>
  <c r="R20" i="116"/>
  <c r="Q20" i="116"/>
  <c r="P20" i="116"/>
  <c r="AD17" i="116"/>
  <c r="AC17" i="116"/>
  <c r="AB17" i="116"/>
  <c r="R17" i="116"/>
  <c r="Q17" i="116"/>
  <c r="P17" i="116"/>
  <c r="AD13" i="116"/>
  <c r="AC13" i="116"/>
  <c r="AB13" i="116"/>
  <c r="AD10" i="116"/>
  <c r="AC10" i="116"/>
  <c r="AB10" i="116"/>
  <c r="AD6" i="116"/>
  <c r="AC6" i="116"/>
  <c r="AB6" i="116"/>
  <c r="AD3" i="116"/>
  <c r="AC3" i="116"/>
  <c r="AB3" i="116"/>
  <c r="Y1" i="116"/>
  <c r="X1" i="116"/>
  <c r="V1" i="116"/>
  <c r="Q142" i="115"/>
  <c r="P142" i="115"/>
  <c r="O142" i="115"/>
  <c r="Q141" i="115"/>
  <c r="P141" i="115"/>
  <c r="O141" i="115"/>
  <c r="Q139" i="115"/>
  <c r="P139" i="115"/>
  <c r="O139" i="115"/>
  <c r="Q138" i="115"/>
  <c r="P138" i="115"/>
  <c r="O138" i="115"/>
  <c r="Q136" i="115"/>
  <c r="P136" i="115"/>
  <c r="O136" i="115"/>
  <c r="Q135" i="115"/>
  <c r="P135" i="115"/>
  <c r="O135" i="115"/>
  <c r="Q130" i="115"/>
  <c r="P130" i="115"/>
  <c r="O130" i="115"/>
  <c r="Q129" i="115"/>
  <c r="P129" i="115"/>
  <c r="O129" i="115"/>
  <c r="Q117" i="115"/>
  <c r="P117" i="115"/>
  <c r="O117" i="115"/>
  <c r="Q116" i="115"/>
  <c r="P116" i="115"/>
  <c r="O116" i="115"/>
  <c r="Q101" i="115"/>
  <c r="P101" i="115"/>
  <c r="O101" i="115"/>
  <c r="Q100" i="115"/>
  <c r="P100" i="115"/>
  <c r="O100" i="115"/>
  <c r="Q99" i="115"/>
  <c r="P99" i="115"/>
  <c r="O99" i="115"/>
  <c r="Q98" i="115"/>
  <c r="P98" i="115"/>
  <c r="O98" i="115"/>
  <c r="Q97" i="115"/>
  <c r="P97" i="115"/>
  <c r="O97" i="115"/>
  <c r="Q96" i="115"/>
  <c r="P96" i="115"/>
  <c r="O96" i="115"/>
  <c r="Q50" i="115"/>
  <c r="P50" i="115"/>
  <c r="O50" i="115"/>
  <c r="Q47" i="115"/>
  <c r="P47" i="115"/>
  <c r="O47" i="115"/>
  <c r="Q45" i="115"/>
  <c r="P45" i="115"/>
  <c r="O45" i="115"/>
  <c r="Q44" i="115"/>
  <c r="P44" i="115"/>
  <c r="O44" i="115"/>
  <c r="Q43" i="115"/>
  <c r="P43" i="115"/>
  <c r="O43" i="115"/>
  <c r="Q42" i="115"/>
  <c r="P42" i="115"/>
  <c r="O42" i="115"/>
  <c r="Q41" i="115"/>
  <c r="P41" i="115"/>
  <c r="O41" i="115"/>
  <c r="Q40" i="115"/>
  <c r="P40" i="115"/>
  <c r="O40" i="115"/>
  <c r="Q39" i="115"/>
  <c r="P39" i="115"/>
  <c r="O39" i="115"/>
  <c r="Q35" i="115"/>
  <c r="P35" i="115"/>
  <c r="O35" i="115"/>
  <c r="Q32" i="115"/>
  <c r="P32" i="115"/>
  <c r="O32" i="115"/>
  <c r="Q31" i="115"/>
  <c r="P31" i="115"/>
  <c r="O31" i="115"/>
  <c r="Q24" i="115"/>
  <c r="P24" i="115"/>
  <c r="O24" i="115"/>
  <c r="Q21" i="115"/>
  <c r="P21" i="115"/>
  <c r="O21" i="115"/>
  <c r="Q18" i="115"/>
  <c r="P18" i="115"/>
  <c r="O18" i="115"/>
  <c r="Q14" i="115"/>
  <c r="P14" i="115"/>
  <c r="O14" i="115"/>
  <c r="Q11" i="115"/>
  <c r="P11" i="115"/>
  <c r="O11" i="115"/>
  <c r="X1" i="115"/>
  <c r="W1" i="115"/>
  <c r="U1" i="115"/>
  <c r="Z85" i="111"/>
  <c r="Y85" i="111"/>
  <c r="X85" i="111"/>
  <c r="Z82" i="111"/>
  <c r="Y82" i="111"/>
  <c r="X82" i="111"/>
  <c r="O82" i="111"/>
  <c r="N82" i="111"/>
  <c r="M82" i="111"/>
  <c r="Z81" i="111"/>
  <c r="Y81" i="111"/>
  <c r="X81" i="111"/>
  <c r="Z79" i="111"/>
  <c r="Y79" i="111"/>
  <c r="X79" i="111"/>
  <c r="Z78" i="111"/>
  <c r="Y78" i="111"/>
  <c r="X78" i="111"/>
  <c r="O63" i="111"/>
  <c r="N63" i="111"/>
  <c r="M63" i="111"/>
  <c r="O62" i="111"/>
  <c r="N62" i="111"/>
  <c r="M62" i="111"/>
  <c r="O61" i="111"/>
  <c r="N61" i="111"/>
  <c r="M61" i="111"/>
  <c r="Z60" i="111"/>
  <c r="Y60" i="111"/>
  <c r="X60" i="111"/>
  <c r="Z59" i="111"/>
  <c r="Y59" i="111"/>
  <c r="X59" i="111"/>
  <c r="O58" i="111"/>
  <c r="N58" i="111"/>
  <c r="M58" i="111"/>
  <c r="Z51" i="111"/>
  <c r="Y51" i="111"/>
  <c r="X51" i="111"/>
  <c r="Z50" i="111"/>
  <c r="Y50" i="111"/>
  <c r="X50" i="111"/>
  <c r="O38" i="111"/>
  <c r="N38" i="111"/>
  <c r="M38" i="111"/>
  <c r="Z35" i="111"/>
  <c r="Y35" i="111"/>
  <c r="X35" i="111"/>
  <c r="O35" i="111"/>
  <c r="N35" i="111"/>
  <c r="M35" i="111"/>
  <c r="Z34" i="111"/>
  <c r="Y34" i="111"/>
  <c r="X34" i="111"/>
  <c r="Z32" i="111"/>
  <c r="Y32" i="111"/>
  <c r="X32" i="111"/>
  <c r="Z31" i="111"/>
  <c r="Y31" i="111"/>
  <c r="X31" i="111"/>
  <c r="Z16" i="111"/>
  <c r="Y16" i="111"/>
  <c r="X16" i="111"/>
  <c r="O16" i="111"/>
  <c r="N16" i="111"/>
  <c r="M16" i="111"/>
  <c r="Z15" i="111"/>
  <c r="Y15" i="111"/>
  <c r="X15" i="111"/>
  <c r="O15" i="111"/>
  <c r="N15" i="111"/>
  <c r="M15" i="111"/>
  <c r="Z13" i="111"/>
  <c r="Y13" i="111"/>
  <c r="X13" i="111"/>
  <c r="O13" i="111"/>
  <c r="N13" i="111"/>
  <c r="M13" i="111"/>
  <c r="Z12" i="111"/>
  <c r="Y12" i="111"/>
  <c r="X12" i="111"/>
  <c r="O12" i="111"/>
  <c r="N12" i="111"/>
  <c r="M12" i="111"/>
  <c r="O11" i="111"/>
  <c r="N11" i="111"/>
  <c r="M11" i="111"/>
  <c r="Z10" i="111"/>
  <c r="Y10" i="111"/>
  <c r="X10" i="111"/>
  <c r="Z9" i="111"/>
  <c r="Y9" i="111"/>
  <c r="X9" i="111"/>
  <c r="O8" i="111"/>
  <c r="N8" i="111"/>
  <c r="M8" i="111"/>
  <c r="Z7" i="111"/>
  <c r="Y7" i="111"/>
  <c r="X7" i="111"/>
  <c r="O7" i="111"/>
  <c r="N7" i="111"/>
  <c r="M7" i="111"/>
  <c r="Z6" i="111"/>
  <c r="Y6" i="111"/>
  <c r="X6" i="111"/>
  <c r="O6" i="111"/>
  <c r="N6" i="111"/>
  <c r="M6" i="111"/>
  <c r="Z5" i="111"/>
  <c r="Y5" i="111"/>
  <c r="X5" i="111"/>
  <c r="O5" i="111"/>
  <c r="N5" i="111"/>
  <c r="M5" i="111"/>
  <c r="Z4" i="111"/>
  <c r="Y4" i="111"/>
  <c r="X4" i="111"/>
  <c r="Z3" i="111"/>
  <c r="Y3" i="111"/>
  <c r="X3" i="111"/>
  <c r="U1" i="111"/>
  <c r="T1" i="111"/>
  <c r="S1" i="111"/>
  <c r="P115" i="110"/>
  <c r="O115" i="110"/>
  <c r="N115" i="110"/>
  <c r="P114" i="110"/>
  <c r="O114" i="110"/>
  <c r="N114" i="110"/>
  <c r="P112" i="110"/>
  <c r="O112" i="110"/>
  <c r="N112" i="110"/>
  <c r="P111" i="110"/>
  <c r="O111" i="110"/>
  <c r="N111" i="110"/>
  <c r="AB106" i="110"/>
  <c r="AA106" i="110"/>
  <c r="Z106" i="110"/>
  <c r="AB105" i="110"/>
  <c r="AA105" i="110"/>
  <c r="Z105" i="110"/>
  <c r="AB103" i="110"/>
  <c r="AA103" i="110"/>
  <c r="Z103" i="110"/>
  <c r="AB102" i="110"/>
  <c r="AA102" i="110"/>
  <c r="Z102" i="110"/>
  <c r="AB100" i="110"/>
  <c r="AA100" i="110"/>
  <c r="Z100" i="110"/>
  <c r="AB99" i="110"/>
  <c r="AA99" i="110"/>
  <c r="Z99" i="110"/>
  <c r="AB78" i="110"/>
  <c r="AA78" i="110"/>
  <c r="Z78" i="110"/>
  <c r="AB77" i="110"/>
  <c r="AA77" i="110"/>
  <c r="Z77" i="110"/>
  <c r="P68" i="110"/>
  <c r="O68" i="110"/>
  <c r="N68" i="110"/>
  <c r="P67" i="110"/>
  <c r="O67" i="110"/>
  <c r="N67" i="110"/>
  <c r="AB66" i="110"/>
  <c r="P65" i="110"/>
  <c r="O65" i="110"/>
  <c r="N65" i="110"/>
  <c r="P64" i="110"/>
  <c r="O64" i="110"/>
  <c r="N64" i="110"/>
  <c r="AB59" i="110"/>
  <c r="AA59" i="110"/>
  <c r="Z59" i="110"/>
  <c r="AB58" i="110"/>
  <c r="AA58" i="110"/>
  <c r="Z58" i="110"/>
  <c r="P56" i="110"/>
  <c r="O56" i="110"/>
  <c r="N56" i="110"/>
  <c r="P55" i="110"/>
  <c r="O55" i="110"/>
  <c r="N55" i="110"/>
  <c r="AB53" i="110"/>
  <c r="AA53" i="110"/>
  <c r="Z53" i="110"/>
  <c r="AB52" i="110"/>
  <c r="AA52" i="110"/>
  <c r="Z52" i="110"/>
  <c r="AB50" i="110"/>
  <c r="AA50" i="110"/>
  <c r="Z50" i="110"/>
  <c r="AB49" i="110"/>
  <c r="AA49" i="110"/>
  <c r="Z49" i="110"/>
  <c r="AB48" i="110"/>
  <c r="AA48" i="110"/>
  <c r="Z48" i="110"/>
  <c r="AB47" i="110"/>
  <c r="AA47" i="110"/>
  <c r="Z47" i="110"/>
  <c r="P46" i="110"/>
  <c r="O46" i="110"/>
  <c r="N46" i="110"/>
  <c r="AB45" i="110"/>
  <c r="AA45" i="110"/>
  <c r="Z45" i="110"/>
  <c r="P45" i="110"/>
  <c r="O45" i="110"/>
  <c r="N45" i="110"/>
  <c r="AB44" i="110"/>
  <c r="AA44" i="110"/>
  <c r="Z44" i="110"/>
  <c r="P44" i="110"/>
  <c r="O44" i="110"/>
  <c r="N44" i="110"/>
  <c r="AB42" i="110"/>
  <c r="AA42" i="110"/>
  <c r="Z42" i="110"/>
  <c r="P42" i="110"/>
  <c r="O42" i="110"/>
  <c r="N42" i="110"/>
  <c r="AB41" i="110"/>
  <c r="AA41" i="110"/>
  <c r="Z41" i="110"/>
  <c r="P41" i="110"/>
  <c r="O41" i="110"/>
  <c r="N41" i="110"/>
  <c r="AB36" i="110"/>
  <c r="AA36" i="110"/>
  <c r="Z36" i="110"/>
  <c r="AB35" i="110"/>
  <c r="AA35" i="110"/>
  <c r="Z35" i="110"/>
  <c r="AB25" i="110"/>
  <c r="AA25" i="110"/>
  <c r="Z25" i="110"/>
  <c r="P25" i="110"/>
  <c r="O25" i="110"/>
  <c r="N25" i="110"/>
  <c r="AB24" i="110"/>
  <c r="AA24" i="110"/>
  <c r="Z24" i="110"/>
  <c r="P24" i="110"/>
  <c r="O24" i="110"/>
  <c r="N24" i="110"/>
  <c r="AB22" i="110"/>
  <c r="AA22" i="110"/>
  <c r="Z22" i="110"/>
  <c r="P22" i="110"/>
  <c r="O22" i="110"/>
  <c r="N22" i="110"/>
  <c r="AB21" i="110"/>
  <c r="AA21" i="110"/>
  <c r="Z21" i="110"/>
  <c r="P21" i="110"/>
  <c r="O21" i="110"/>
  <c r="N21" i="110"/>
  <c r="AB19" i="110"/>
  <c r="AA19" i="110"/>
  <c r="Z19" i="110"/>
  <c r="P19" i="110"/>
  <c r="O19" i="110"/>
  <c r="N19" i="110"/>
  <c r="AB18" i="110"/>
  <c r="AA18" i="110"/>
  <c r="Z18" i="110"/>
  <c r="P18" i="110"/>
  <c r="O18" i="110"/>
  <c r="N18" i="110"/>
  <c r="P16" i="110"/>
  <c r="O16" i="110"/>
  <c r="N16" i="110"/>
  <c r="P15" i="110"/>
  <c r="O15" i="110"/>
  <c r="N15" i="110"/>
  <c r="P14" i="110"/>
  <c r="O14" i="110"/>
  <c r="N14" i="110"/>
  <c r="AB13" i="110"/>
  <c r="AA13" i="110"/>
  <c r="Z13" i="110"/>
  <c r="P13" i="110"/>
  <c r="O13" i="110"/>
  <c r="N13" i="110"/>
  <c r="AB12" i="110"/>
  <c r="AA12" i="110"/>
  <c r="Z12" i="110"/>
  <c r="P12" i="110"/>
  <c r="O12" i="110"/>
  <c r="N12" i="110"/>
  <c r="AB10" i="110"/>
  <c r="AA10" i="110"/>
  <c r="Z10" i="110"/>
  <c r="P10" i="110"/>
  <c r="O10" i="110"/>
  <c r="N10" i="110"/>
  <c r="AB9" i="110"/>
  <c r="AA9" i="110"/>
  <c r="Z9" i="110"/>
  <c r="P9" i="110"/>
  <c r="O9" i="110"/>
  <c r="N9" i="110"/>
  <c r="AB7" i="110"/>
  <c r="AA7" i="110"/>
  <c r="Z7" i="110"/>
  <c r="AB6" i="110"/>
  <c r="AA6" i="110"/>
  <c r="Z6" i="110"/>
  <c r="AB4" i="110"/>
  <c r="AA4" i="110"/>
  <c r="Z4" i="110"/>
  <c r="AB3" i="110"/>
  <c r="AA3" i="110"/>
  <c r="Z3" i="110"/>
  <c r="W1" i="110"/>
  <c r="V1" i="110"/>
  <c r="T1" i="110"/>
  <c r="AA84" i="102"/>
  <c r="P84" i="102"/>
  <c r="O84" i="102"/>
  <c r="N84" i="102"/>
  <c r="AA83" i="102"/>
  <c r="P83" i="102"/>
  <c r="O83" i="102"/>
  <c r="N83" i="102"/>
  <c r="AB81" i="102"/>
  <c r="AA81" i="102"/>
  <c r="Z81" i="102"/>
  <c r="P81" i="102"/>
  <c r="O81" i="102"/>
  <c r="N81" i="102"/>
  <c r="AB80" i="102"/>
  <c r="AA80" i="102"/>
  <c r="Z80" i="102"/>
  <c r="P80" i="102"/>
  <c r="O80" i="102"/>
  <c r="N80" i="102"/>
  <c r="AB78" i="102"/>
  <c r="AA78" i="102"/>
  <c r="Z78" i="102"/>
  <c r="P78" i="102"/>
  <c r="O78" i="102"/>
  <c r="N78" i="102"/>
  <c r="AB77" i="102"/>
  <c r="AA77" i="102"/>
  <c r="Z77" i="102"/>
  <c r="P77" i="102"/>
  <c r="O77" i="102"/>
  <c r="N77" i="102"/>
  <c r="AB75" i="102"/>
  <c r="AA75" i="102"/>
  <c r="Z75" i="102"/>
  <c r="AB74" i="102"/>
  <c r="AA74" i="102"/>
  <c r="Z74" i="102"/>
  <c r="AB72" i="102"/>
  <c r="AA72" i="102"/>
  <c r="Z72" i="102"/>
  <c r="P72" i="102"/>
  <c r="O72" i="102"/>
  <c r="N72" i="102"/>
  <c r="AB71" i="102"/>
  <c r="AA71" i="102"/>
  <c r="Z71" i="102"/>
  <c r="P71" i="102"/>
  <c r="O71" i="102"/>
  <c r="N71" i="102"/>
  <c r="AB69" i="102"/>
  <c r="AA69" i="102"/>
  <c r="Z69" i="102"/>
  <c r="AB68" i="102"/>
  <c r="AA68" i="102"/>
  <c r="Z68" i="102"/>
  <c r="P59" i="102"/>
  <c r="O59" i="102"/>
  <c r="N59" i="102"/>
  <c r="P58" i="102"/>
  <c r="O58" i="102"/>
  <c r="N58" i="102"/>
  <c r="AB53" i="102"/>
  <c r="AA53" i="102"/>
  <c r="Z53" i="102"/>
  <c r="AB52" i="102"/>
  <c r="AA52" i="102"/>
  <c r="Z52" i="102"/>
  <c r="P47" i="102"/>
  <c r="O47" i="102"/>
  <c r="N47" i="102"/>
  <c r="P46" i="102"/>
  <c r="O46" i="102"/>
  <c r="N46" i="102"/>
  <c r="AB38" i="102"/>
  <c r="AA38" i="102"/>
  <c r="Z38" i="102"/>
  <c r="AB37" i="102"/>
  <c r="AA37" i="102"/>
  <c r="Z37" i="102"/>
  <c r="P22" i="102"/>
  <c r="O22" i="102"/>
  <c r="N22" i="102"/>
  <c r="P21" i="102"/>
  <c r="O21" i="102"/>
  <c r="N21" i="102"/>
  <c r="AB19" i="102"/>
  <c r="AA19" i="102"/>
  <c r="Z19" i="102"/>
  <c r="P19" i="102"/>
  <c r="O19" i="102"/>
  <c r="N19" i="102"/>
  <c r="AB18" i="102"/>
  <c r="AA18" i="102"/>
  <c r="Z18" i="102"/>
  <c r="P18" i="102"/>
  <c r="O18" i="102"/>
  <c r="N18" i="102"/>
  <c r="AB16" i="102"/>
  <c r="AA16" i="102"/>
  <c r="Z16" i="102"/>
  <c r="P16" i="102"/>
  <c r="O16" i="102"/>
  <c r="N16" i="102"/>
  <c r="AB15" i="102"/>
  <c r="AA15" i="102"/>
  <c r="Z15" i="102"/>
  <c r="P15" i="102"/>
  <c r="O15" i="102"/>
  <c r="N15" i="102"/>
  <c r="P14" i="102"/>
  <c r="O14" i="102"/>
  <c r="N14" i="102"/>
  <c r="AB13" i="102"/>
  <c r="AA13" i="102"/>
  <c r="Z13" i="102"/>
  <c r="AB12" i="102"/>
  <c r="AA12" i="102"/>
  <c r="Z12" i="102"/>
  <c r="P11" i="102"/>
  <c r="O11" i="102"/>
  <c r="N11" i="102"/>
  <c r="AB10" i="102"/>
  <c r="AA10" i="102"/>
  <c r="Z10" i="102"/>
  <c r="P10" i="102"/>
  <c r="O10" i="102"/>
  <c r="N10" i="102"/>
  <c r="AB9" i="102"/>
  <c r="AA9" i="102"/>
  <c r="Z9" i="102"/>
  <c r="P9" i="102"/>
  <c r="O9" i="102"/>
  <c r="N9" i="102"/>
  <c r="AB7" i="102"/>
  <c r="AA7" i="102"/>
  <c r="Z7" i="102"/>
  <c r="P7" i="102"/>
  <c r="O7" i="102"/>
  <c r="N7" i="102"/>
  <c r="AB6" i="102"/>
  <c r="AA6" i="102"/>
  <c r="Z6" i="102"/>
  <c r="P6" i="102"/>
  <c r="O6" i="102"/>
  <c r="N6" i="102"/>
  <c r="AB4" i="102"/>
  <c r="AA4" i="102"/>
  <c r="Z4" i="102"/>
  <c r="AB3" i="102"/>
  <c r="AA3" i="102"/>
  <c r="Z3" i="102"/>
  <c r="W1" i="102"/>
  <c r="V1" i="102"/>
  <c r="T1" i="102"/>
  <c r="L29" i="114"/>
  <c r="G29" i="114"/>
  <c r="F29" i="114"/>
  <c r="E29" i="114"/>
  <c r="D29" i="114"/>
  <c r="L28" i="114"/>
  <c r="G28" i="114"/>
  <c r="F28" i="114"/>
  <c r="E28" i="114"/>
  <c r="D28" i="114"/>
  <c r="O27" i="114"/>
  <c r="G27" i="114"/>
  <c r="F27" i="114"/>
  <c r="E27" i="114"/>
  <c r="D27" i="114"/>
  <c r="L26" i="114"/>
  <c r="G26" i="114"/>
  <c r="F26" i="114"/>
  <c r="E26" i="114"/>
  <c r="D26" i="114"/>
  <c r="O19" i="114"/>
  <c r="L19" i="114"/>
  <c r="G19" i="114"/>
  <c r="F19" i="114"/>
  <c r="E19" i="114"/>
  <c r="D19" i="114"/>
  <c r="O18" i="114"/>
  <c r="L18" i="114"/>
  <c r="G18" i="114"/>
  <c r="F18" i="114"/>
  <c r="E18" i="114"/>
  <c r="D18" i="114"/>
  <c r="L9" i="114"/>
  <c r="O9" i="114" s="1"/>
  <c r="F9" i="114"/>
  <c r="E9" i="114"/>
  <c r="D9" i="114"/>
  <c r="L8" i="114"/>
  <c r="F8" i="114"/>
  <c r="E8" i="114"/>
  <c r="D8" i="114"/>
  <c r="M68" i="112"/>
  <c r="K68" i="112"/>
  <c r="J68" i="112"/>
  <c r="I68" i="112"/>
  <c r="H68" i="112"/>
  <c r="G68" i="112"/>
  <c r="F68" i="112"/>
  <c r="E68" i="112"/>
  <c r="P67" i="112"/>
  <c r="X67" i="112" s="1"/>
  <c r="M67" i="112"/>
  <c r="K67" i="112"/>
  <c r="J67" i="112"/>
  <c r="I67" i="112"/>
  <c r="H67" i="112"/>
  <c r="G67" i="112"/>
  <c r="F67" i="112"/>
  <c r="E67" i="112"/>
  <c r="P66" i="112"/>
  <c r="T66" i="112" s="1"/>
  <c r="M66" i="112"/>
  <c r="K66" i="112"/>
  <c r="J66" i="112"/>
  <c r="I66" i="112"/>
  <c r="H66" i="112"/>
  <c r="G66" i="112"/>
  <c r="F66" i="112"/>
  <c r="E66" i="112"/>
  <c r="P65" i="112"/>
  <c r="X65" i="112" s="1"/>
  <c r="M65" i="112"/>
  <c r="K65" i="112"/>
  <c r="J65" i="112"/>
  <c r="I65" i="112"/>
  <c r="H65" i="112"/>
  <c r="G65" i="112"/>
  <c r="F65" i="112"/>
  <c r="E65" i="112"/>
  <c r="N64" i="112"/>
  <c r="K64" i="112"/>
  <c r="Y64" i="112" s="1"/>
  <c r="N63" i="112"/>
  <c r="O63" i="112" s="1"/>
  <c r="K63" i="112"/>
  <c r="Y63" i="112" s="1"/>
  <c r="N62" i="112"/>
  <c r="K62" i="112"/>
  <c r="Y62" i="112" s="1"/>
  <c r="M61" i="112"/>
  <c r="K61" i="112"/>
  <c r="J61" i="112"/>
  <c r="I61" i="112"/>
  <c r="H61" i="112"/>
  <c r="G61" i="112"/>
  <c r="F61" i="112"/>
  <c r="E61" i="112"/>
  <c r="P60" i="112"/>
  <c r="X60" i="112" s="1"/>
  <c r="K60" i="112"/>
  <c r="J60" i="112"/>
  <c r="I60" i="112"/>
  <c r="H60" i="112"/>
  <c r="G60" i="112"/>
  <c r="F60" i="112"/>
  <c r="E60" i="112"/>
  <c r="P59" i="112"/>
  <c r="X59" i="112" s="1"/>
  <c r="K59" i="112"/>
  <c r="J59" i="112"/>
  <c r="I59" i="112"/>
  <c r="H59" i="112"/>
  <c r="G59" i="112"/>
  <c r="F59" i="112"/>
  <c r="E59" i="112"/>
  <c r="P58" i="112"/>
  <c r="X58" i="112" s="1"/>
  <c r="M58" i="112"/>
  <c r="K58" i="112"/>
  <c r="J58" i="112"/>
  <c r="I58" i="112"/>
  <c r="H58" i="112"/>
  <c r="G58" i="112"/>
  <c r="F58" i="112"/>
  <c r="P57" i="112"/>
  <c r="X57" i="112" s="1"/>
  <c r="M57" i="112"/>
  <c r="K57" i="112"/>
  <c r="J57" i="112"/>
  <c r="I57" i="112"/>
  <c r="H57" i="112"/>
  <c r="G57" i="112"/>
  <c r="F57" i="112"/>
  <c r="P56" i="112"/>
  <c r="X56" i="112" s="1"/>
  <c r="M56" i="112"/>
  <c r="K56" i="112"/>
  <c r="J56" i="112"/>
  <c r="I56" i="112"/>
  <c r="H56" i="112"/>
  <c r="G56" i="112"/>
  <c r="F56" i="112"/>
  <c r="P55" i="112"/>
  <c r="T55" i="112" s="1"/>
  <c r="M55" i="112"/>
  <c r="K55" i="112"/>
  <c r="J55" i="112"/>
  <c r="I55" i="112"/>
  <c r="H55" i="112"/>
  <c r="G55" i="112"/>
  <c r="F55" i="112"/>
  <c r="P54" i="112"/>
  <c r="X54" i="112" s="1"/>
  <c r="M54" i="112"/>
  <c r="K54" i="112"/>
  <c r="J54" i="112"/>
  <c r="I54" i="112"/>
  <c r="H54" i="112"/>
  <c r="G54" i="112"/>
  <c r="F54" i="112"/>
  <c r="P53" i="112"/>
  <c r="X53" i="112" s="1"/>
  <c r="K53" i="112"/>
  <c r="J53" i="112"/>
  <c r="I53" i="112"/>
  <c r="H53" i="112"/>
  <c r="G53" i="112"/>
  <c r="F53" i="112"/>
  <c r="E53" i="112"/>
  <c r="P52" i="112"/>
  <c r="X52" i="112" s="1"/>
  <c r="K52" i="112"/>
  <c r="J52" i="112"/>
  <c r="I52" i="112"/>
  <c r="H52" i="112"/>
  <c r="G52" i="112"/>
  <c r="F52" i="112"/>
  <c r="E52" i="112"/>
  <c r="M51" i="112"/>
  <c r="K51" i="112"/>
  <c r="J51" i="112"/>
  <c r="I51" i="112"/>
  <c r="H51" i="112"/>
  <c r="G51" i="112"/>
  <c r="F51" i="112"/>
  <c r="E51" i="112"/>
  <c r="P42" i="112"/>
  <c r="T42" i="112" s="1"/>
  <c r="M42" i="112"/>
  <c r="K42" i="112"/>
  <c r="J42" i="112"/>
  <c r="I42" i="112"/>
  <c r="H42" i="112"/>
  <c r="G42" i="112"/>
  <c r="F42" i="112"/>
  <c r="P41" i="112"/>
  <c r="T41" i="112" s="1"/>
  <c r="M41" i="112"/>
  <c r="K41" i="112"/>
  <c r="J41" i="112"/>
  <c r="I41" i="112"/>
  <c r="H41" i="112"/>
  <c r="G41" i="112"/>
  <c r="F41" i="112"/>
  <c r="P40" i="112"/>
  <c r="T40" i="112" s="1"/>
  <c r="M40" i="112"/>
  <c r="K40" i="112"/>
  <c r="J40" i="112"/>
  <c r="I40" i="112"/>
  <c r="H40" i="112"/>
  <c r="G40" i="112"/>
  <c r="F40" i="112"/>
  <c r="P39" i="112"/>
  <c r="T39" i="112" s="1"/>
  <c r="M39" i="112"/>
  <c r="K39" i="112"/>
  <c r="J39" i="112"/>
  <c r="I39" i="112"/>
  <c r="H39" i="112"/>
  <c r="G39" i="112"/>
  <c r="F39" i="112"/>
  <c r="P38" i="112"/>
  <c r="T38" i="112" s="1"/>
  <c r="M38" i="112"/>
  <c r="K38" i="112"/>
  <c r="J38" i="112"/>
  <c r="I38" i="112"/>
  <c r="H38" i="112"/>
  <c r="G38" i="112"/>
  <c r="F38" i="112"/>
  <c r="M37" i="112"/>
  <c r="K37" i="112"/>
  <c r="J37" i="112"/>
  <c r="I37" i="112"/>
  <c r="H37" i="112"/>
  <c r="G37" i="112"/>
  <c r="F37" i="112"/>
  <c r="E37" i="112"/>
  <c r="M36" i="112"/>
  <c r="K36" i="112"/>
  <c r="J36" i="112"/>
  <c r="I36" i="112"/>
  <c r="H36" i="112"/>
  <c r="G36" i="112"/>
  <c r="F36" i="112"/>
  <c r="E36" i="112"/>
  <c r="M35" i="112"/>
  <c r="K35" i="112"/>
  <c r="J35" i="112"/>
  <c r="I35" i="112"/>
  <c r="H35" i="112"/>
  <c r="G35" i="112"/>
  <c r="F35" i="112"/>
  <c r="E35" i="112"/>
  <c r="P34" i="112"/>
  <c r="T34" i="112" s="1"/>
  <c r="K34" i="112"/>
  <c r="J34" i="112"/>
  <c r="I34" i="112"/>
  <c r="H34" i="112"/>
  <c r="G34" i="112"/>
  <c r="F34" i="112"/>
  <c r="E34" i="112"/>
  <c r="P33" i="112"/>
  <c r="T33" i="112" s="1"/>
  <c r="K33" i="112"/>
  <c r="J33" i="112"/>
  <c r="I33" i="112"/>
  <c r="H33" i="112"/>
  <c r="G33" i="112"/>
  <c r="F33" i="112"/>
  <c r="E33" i="112"/>
  <c r="P32" i="112"/>
  <c r="T32" i="112" s="1"/>
  <c r="K32" i="112"/>
  <c r="J32" i="112"/>
  <c r="I32" i="112"/>
  <c r="H32" i="112"/>
  <c r="G32" i="112"/>
  <c r="F32" i="112"/>
  <c r="E32" i="112"/>
  <c r="P31" i="112"/>
  <c r="T31" i="112" s="1"/>
  <c r="K31" i="112"/>
  <c r="J31" i="112"/>
  <c r="I31" i="112"/>
  <c r="H31" i="112"/>
  <c r="G31" i="112"/>
  <c r="F31" i="112"/>
  <c r="E31" i="112"/>
  <c r="M30" i="112"/>
  <c r="K30" i="112"/>
  <c r="J30" i="112"/>
  <c r="I30" i="112"/>
  <c r="H30" i="112"/>
  <c r="G30" i="112"/>
  <c r="F30" i="112"/>
  <c r="E30" i="112"/>
  <c r="I22" i="112"/>
  <c r="H22" i="112"/>
  <c r="I21" i="112"/>
  <c r="H21" i="112"/>
  <c r="I20" i="112"/>
  <c r="H20" i="112"/>
  <c r="I19" i="112"/>
  <c r="I18" i="112"/>
  <c r="I17" i="112"/>
  <c r="I16" i="112"/>
  <c r="I15" i="112"/>
  <c r="I14" i="112"/>
  <c r="I13" i="112"/>
  <c r="I12" i="112"/>
  <c r="I11" i="112"/>
  <c r="I10" i="112"/>
  <c r="I9" i="112"/>
  <c r="J8" i="112"/>
  <c r="I8" i="112"/>
  <c r="D5" i="112"/>
  <c r="P68" i="112" l="1"/>
  <c r="X68" i="112" s="1"/>
  <c r="O28" i="114"/>
  <c r="M28" i="114"/>
  <c r="N28" i="114" s="1"/>
  <c r="P29" i="114"/>
  <c r="O29" i="114"/>
  <c r="P37" i="112"/>
  <c r="T37" i="112" s="1"/>
  <c r="X55" i="112"/>
  <c r="N42" i="112"/>
  <c r="O42" i="112" s="1"/>
  <c r="Y52" i="112"/>
  <c r="P62" i="112"/>
  <c r="X62" i="112" s="1"/>
  <c r="Z62" i="112" s="1"/>
  <c r="F13" i="112"/>
  <c r="U39" i="112"/>
  <c r="V39" i="112" s="1"/>
  <c r="Q53" i="112"/>
  <c r="R53" i="112" s="1"/>
  <c r="S53" i="112" s="1"/>
  <c r="Q54" i="112"/>
  <c r="R54" i="112" s="1"/>
  <c r="N57" i="112"/>
  <c r="O57" i="112" s="1"/>
  <c r="Q65" i="112"/>
  <c r="R65" i="112" s="1"/>
  <c r="F11" i="112"/>
  <c r="E19" i="112"/>
  <c r="F9" i="112"/>
  <c r="H11" i="112"/>
  <c r="M22" i="112"/>
  <c r="X10" i="112"/>
  <c r="J11" i="112"/>
  <c r="X12" i="112"/>
  <c r="G14" i="112"/>
  <c r="U33" i="112"/>
  <c r="V33" i="112" s="1"/>
  <c r="P51" i="112"/>
  <c r="X51" i="112" s="1"/>
  <c r="Q67" i="112"/>
  <c r="R67" i="112" s="1"/>
  <c r="U54" i="112"/>
  <c r="M16" i="112"/>
  <c r="G10" i="112"/>
  <c r="G12" i="112"/>
  <c r="M20" i="112"/>
  <c r="F8" i="112"/>
  <c r="M14" i="112"/>
  <c r="E17" i="112"/>
  <c r="H8" i="112"/>
  <c r="H9" i="112"/>
  <c r="M10" i="112"/>
  <c r="T12" i="112"/>
  <c r="J13" i="112"/>
  <c r="X14" i="112"/>
  <c r="X16" i="112"/>
  <c r="U30" i="112"/>
  <c r="P30" i="112"/>
  <c r="T30" i="112" s="1"/>
  <c r="U32" i="112"/>
  <c r="V32" i="112" s="1"/>
  <c r="P35" i="112"/>
  <c r="T35" i="112" s="1"/>
  <c r="Q58" i="112"/>
  <c r="R58" i="112" s="1"/>
  <c r="X20" i="112"/>
  <c r="N30" i="112"/>
  <c r="O30" i="112" s="1"/>
  <c r="Q31" i="112"/>
  <c r="R31" i="112" s="1"/>
  <c r="S31" i="112" s="1"/>
  <c r="Q32" i="112"/>
  <c r="R32" i="112" s="1"/>
  <c r="S32" i="112" s="1"/>
  <c r="P36" i="112"/>
  <c r="T36" i="112" s="1"/>
  <c r="U37" i="112"/>
  <c r="V37" i="112" s="1"/>
  <c r="Q38" i="112"/>
  <c r="R38" i="112" s="1"/>
  <c r="N39" i="112"/>
  <c r="O39" i="112" s="1"/>
  <c r="Y55" i="112"/>
  <c r="Y61" i="112"/>
  <c r="P61" i="112"/>
  <c r="X61" i="112" s="1"/>
  <c r="Q64" i="112"/>
  <c r="P19" i="114"/>
  <c r="Q19" i="114" s="1"/>
  <c r="M26" i="114"/>
  <c r="N26" i="114" s="1"/>
  <c r="O26" i="114"/>
  <c r="Q33" i="112"/>
  <c r="R33" i="112" s="1"/>
  <c r="S33" i="112" s="1"/>
  <c r="U34" i="112"/>
  <c r="V34" i="112" s="1"/>
  <c r="N36" i="112"/>
  <c r="O36" i="112" s="1"/>
  <c r="U38" i="112"/>
  <c r="V38" i="112" s="1"/>
  <c r="Q39" i="112"/>
  <c r="R39" i="112" s="1"/>
  <c r="S39" i="112" s="1"/>
  <c r="J76" i="115" s="1"/>
  <c r="Q42" i="112"/>
  <c r="R42" i="112" s="1"/>
  <c r="Q52" i="112"/>
  <c r="R52" i="112" s="1"/>
  <c r="S52" i="112" s="1"/>
  <c r="U52" i="112"/>
  <c r="N54" i="112"/>
  <c r="O54" i="112" s="1"/>
  <c r="P64" i="112"/>
  <c r="N68" i="112"/>
  <c r="Q68" i="112" s="1"/>
  <c r="R68" i="112" s="1"/>
  <c r="M19" i="114"/>
  <c r="N19" i="114" s="1"/>
  <c r="J9" i="112"/>
  <c r="T10" i="112"/>
  <c r="M12" i="112"/>
  <c r="H13" i="112"/>
  <c r="G16" i="112"/>
  <c r="T18" i="112"/>
  <c r="N38" i="112"/>
  <c r="O38" i="112" s="1"/>
  <c r="Y53" i="112"/>
  <c r="Z53" i="112" s="1"/>
  <c r="AA53" i="112" s="1"/>
  <c r="Y54" i="112"/>
  <c r="Z54" i="112" s="1"/>
  <c r="Q55" i="112"/>
  <c r="R55" i="112" s="1"/>
  <c r="Y57" i="112"/>
  <c r="Z57" i="112" s="1"/>
  <c r="Y58" i="112"/>
  <c r="Z58" i="112" s="1"/>
  <c r="AA58" i="112" s="1"/>
  <c r="Y65" i="112"/>
  <c r="Z65" i="112" s="1"/>
  <c r="X66" i="112"/>
  <c r="Y67" i="112"/>
  <c r="Z67" i="112" s="1"/>
  <c r="M8" i="114"/>
  <c r="N8" i="114" s="1"/>
  <c r="R8" i="114" s="1"/>
  <c r="M9" i="114"/>
  <c r="N9" i="114" s="1"/>
  <c r="P9" i="114"/>
  <c r="Q9" i="114" s="1"/>
  <c r="P18" i="114"/>
  <c r="Q18" i="114" s="1"/>
  <c r="P27" i="114"/>
  <c r="Q27" i="114" s="1"/>
  <c r="R27" i="114" s="1"/>
  <c r="P28" i="114"/>
  <c r="T51" i="112"/>
  <c r="E8" i="112"/>
  <c r="G9" i="112"/>
  <c r="M9" i="112"/>
  <c r="T9" i="112"/>
  <c r="X9" i="112"/>
  <c r="F10" i="112"/>
  <c r="J10" i="112"/>
  <c r="H12" i="112"/>
  <c r="G13" i="112"/>
  <c r="M13" i="112"/>
  <c r="T14" i="112"/>
  <c r="M18" i="112"/>
  <c r="G20" i="112"/>
  <c r="T20" i="112"/>
  <c r="G22" i="112"/>
  <c r="T22" i="112"/>
  <c r="Q34" i="112"/>
  <c r="R34" i="112" s="1"/>
  <c r="S34" i="112" s="1"/>
  <c r="U36" i="112"/>
  <c r="U40" i="112"/>
  <c r="V40" i="112" s="1"/>
  <c r="U42" i="112"/>
  <c r="V42" i="112" s="1"/>
  <c r="W42" i="112" s="1"/>
  <c r="Y51" i="112"/>
  <c r="Q57" i="112"/>
  <c r="R57" i="112" s="1"/>
  <c r="N58" i="112"/>
  <c r="O58" i="112" s="1"/>
  <c r="U58" i="112"/>
  <c r="N61" i="112"/>
  <c r="O62" i="112"/>
  <c r="Q62" i="112"/>
  <c r="R62" i="112" s="1"/>
  <c r="N65" i="112"/>
  <c r="O65" i="112" s="1"/>
  <c r="Y66" i="112"/>
  <c r="N67" i="112"/>
  <c r="O67" i="112" s="1"/>
  <c r="Y68" i="112"/>
  <c r="Z68" i="112" s="1"/>
  <c r="X22" i="112"/>
  <c r="N35" i="112"/>
  <c r="U41" i="112"/>
  <c r="V41" i="112" s="1"/>
  <c r="N51" i="112"/>
  <c r="Y56" i="112"/>
  <c r="Z56" i="112" s="1"/>
  <c r="Y59" i="112"/>
  <c r="Z59" i="112" s="1"/>
  <c r="Q60" i="112"/>
  <c r="R60" i="112" s="1"/>
  <c r="S60" i="112" s="1"/>
  <c r="Y60" i="112"/>
  <c r="Z60" i="112" s="1"/>
  <c r="U61" i="112"/>
  <c r="Q66" i="112"/>
  <c r="R66" i="112" s="1"/>
  <c r="O68" i="112"/>
  <c r="E22" i="112"/>
  <c r="X21" i="112"/>
  <c r="T21" i="112"/>
  <c r="M21" i="112"/>
  <c r="G21" i="112"/>
  <c r="E20" i="112"/>
  <c r="X19" i="112"/>
  <c r="T19" i="112"/>
  <c r="M19" i="112"/>
  <c r="G19" i="112"/>
  <c r="E18" i="112"/>
  <c r="X17" i="112"/>
  <c r="T17" i="112"/>
  <c r="M17" i="112"/>
  <c r="G17" i="112"/>
  <c r="E16" i="112"/>
  <c r="X15" i="112"/>
  <c r="T15" i="112"/>
  <c r="M15" i="112"/>
  <c r="G15" i="112"/>
  <c r="J21" i="112"/>
  <c r="F21" i="112"/>
  <c r="J19" i="112"/>
  <c r="F19" i="112"/>
  <c r="H18" i="112"/>
  <c r="J17" i="112"/>
  <c r="F17" i="112"/>
  <c r="H16" i="112"/>
  <c r="J15" i="112"/>
  <c r="F15" i="112"/>
  <c r="H14" i="112"/>
  <c r="J22" i="112"/>
  <c r="F22" i="112"/>
  <c r="J20" i="112"/>
  <c r="F20" i="112"/>
  <c r="H19" i="112"/>
  <c r="J18" i="112"/>
  <c r="F18" i="112"/>
  <c r="H17" i="112"/>
  <c r="J16" i="112"/>
  <c r="F16" i="112"/>
  <c r="H15" i="112"/>
  <c r="J14" i="112"/>
  <c r="F14" i="112"/>
  <c r="X13" i="112"/>
  <c r="T13" i="112"/>
  <c r="G8" i="112"/>
  <c r="M8" i="112"/>
  <c r="T8" i="112"/>
  <c r="X8" i="112"/>
  <c r="E9" i="112"/>
  <c r="H10" i="112"/>
  <c r="Y10" i="112" s="1"/>
  <c r="Z10" i="112" s="1"/>
  <c r="AA10" i="112" s="1"/>
  <c r="G11" i="112"/>
  <c r="M11" i="112"/>
  <c r="T11" i="112"/>
  <c r="X11" i="112"/>
  <c r="F12" i="112"/>
  <c r="J12" i="112"/>
  <c r="E15" i="112"/>
  <c r="T16" i="112"/>
  <c r="G18" i="112"/>
  <c r="X18" i="112"/>
  <c r="E21" i="112"/>
  <c r="U31" i="112"/>
  <c r="V31" i="112" s="1"/>
  <c r="W31" i="112" s="1"/>
  <c r="U35" i="112"/>
  <c r="N37" i="112"/>
  <c r="Q40" i="112"/>
  <c r="R40" i="112" s="1"/>
  <c r="Z52" i="112"/>
  <c r="N55" i="112"/>
  <c r="O55" i="112" s="1"/>
  <c r="Q59" i="112"/>
  <c r="R59" i="112" s="1"/>
  <c r="S59" i="112" s="1"/>
  <c r="S67" i="112"/>
  <c r="T68" i="112"/>
  <c r="P26" i="114"/>
  <c r="N40" i="112"/>
  <c r="O40" i="112" s="1"/>
  <c r="Q41" i="112"/>
  <c r="R41" i="112" s="1"/>
  <c r="N41" i="112"/>
  <c r="O41" i="112" s="1"/>
  <c r="Q56" i="112"/>
  <c r="R56" i="112" s="1"/>
  <c r="N56" i="112"/>
  <c r="O56" i="112" s="1"/>
  <c r="T61" i="112"/>
  <c r="N66" i="112"/>
  <c r="O66" i="112" s="1"/>
  <c r="T52" i="112"/>
  <c r="U53" i="112"/>
  <c r="T54" i="112"/>
  <c r="V54" i="112" s="1"/>
  <c r="W54" i="112" s="1"/>
  <c r="U57" i="112"/>
  <c r="T58" i="112"/>
  <c r="U59" i="112"/>
  <c r="U62" i="112"/>
  <c r="O64" i="112"/>
  <c r="U65" i="112"/>
  <c r="U67" i="112"/>
  <c r="M18" i="114"/>
  <c r="N18" i="114" s="1"/>
  <c r="M29" i="114"/>
  <c r="N29" i="114" s="1"/>
  <c r="U51" i="112"/>
  <c r="U55" i="112"/>
  <c r="V55" i="112" s="1"/>
  <c r="W55" i="112" s="1"/>
  <c r="T56" i="112"/>
  <c r="T60" i="112"/>
  <c r="P63" i="112"/>
  <c r="U64" i="112"/>
  <c r="U66" i="112"/>
  <c r="V66" i="112" s="1"/>
  <c r="W66" i="112" s="1"/>
  <c r="U68" i="112"/>
  <c r="T53" i="112"/>
  <c r="U56" i="112"/>
  <c r="T57" i="112"/>
  <c r="T59" i="112"/>
  <c r="U60" i="112"/>
  <c r="T62" i="112"/>
  <c r="Q63" i="112"/>
  <c r="U63" i="112"/>
  <c r="T65" i="112"/>
  <c r="T67" i="112"/>
  <c r="Z61" i="112" l="1"/>
  <c r="S57" i="112"/>
  <c r="Q26" i="114"/>
  <c r="S55" i="112"/>
  <c r="J70" i="115" s="1"/>
  <c r="V35" i="112"/>
  <c r="Y22" i="112"/>
  <c r="S54" i="112"/>
  <c r="R64" i="112"/>
  <c r="S65" i="112"/>
  <c r="K26" i="102" s="1"/>
  <c r="W39" i="112"/>
  <c r="S42" i="112"/>
  <c r="V52" i="112"/>
  <c r="Z66" i="112"/>
  <c r="AA66" i="112" s="1"/>
  <c r="Q28" i="114"/>
  <c r="AA54" i="112"/>
  <c r="Z55" i="112"/>
  <c r="AA55" i="112" s="1"/>
  <c r="W32" i="112"/>
  <c r="T35" i="102"/>
  <c r="Z35" i="102" s="1"/>
  <c r="AA67" i="112"/>
  <c r="U76" i="115"/>
  <c r="AB76" i="115" s="1"/>
  <c r="Z22" i="112"/>
  <c r="AA22" i="112" s="1"/>
  <c r="Y5" i="116" s="1"/>
  <c r="AA65" i="112"/>
  <c r="Q29" i="114"/>
  <c r="R29" i="114" s="1"/>
  <c r="R28" i="114"/>
  <c r="T115" i="117" s="1"/>
  <c r="R9" i="114"/>
  <c r="V135" i="116" s="1"/>
  <c r="R26" i="114"/>
  <c r="O167" i="116" s="1"/>
  <c r="AB142" i="115"/>
  <c r="AA142" i="115"/>
  <c r="AC142" i="115"/>
  <c r="P162" i="116"/>
  <c r="M81" i="111"/>
  <c r="AA141" i="115"/>
  <c r="AC141" i="115"/>
  <c r="AB141" i="115"/>
  <c r="U10" i="112"/>
  <c r="V10" i="112" s="1"/>
  <c r="W10" i="112" s="1"/>
  <c r="J7" i="115" s="1"/>
  <c r="W38" i="112"/>
  <c r="U19" i="112"/>
  <c r="V19" i="112" s="1"/>
  <c r="W19" i="112" s="1"/>
  <c r="L7" i="116" s="1"/>
  <c r="S58" i="112"/>
  <c r="V53" i="112"/>
  <c r="W53" i="112" s="1"/>
  <c r="W113" i="116" s="1"/>
  <c r="N9" i="112"/>
  <c r="O9" i="112" s="1"/>
  <c r="S9" i="112" s="1"/>
  <c r="U8" i="112"/>
  <c r="V8" i="112" s="1"/>
  <c r="W8" i="112" s="1"/>
  <c r="AA52" i="112"/>
  <c r="U21" i="112"/>
  <c r="V21" i="112" s="1"/>
  <c r="W21" i="112" s="1"/>
  <c r="L7" i="117" s="1"/>
  <c r="V51" i="112"/>
  <c r="W52" i="112"/>
  <c r="K81" i="116" s="1"/>
  <c r="N11" i="112"/>
  <c r="Z51" i="112"/>
  <c r="W33" i="112"/>
  <c r="N13" i="112"/>
  <c r="O13" i="112" s="1"/>
  <c r="S13" i="112" s="1"/>
  <c r="AA62" i="112"/>
  <c r="V30" i="112"/>
  <c r="Y15" i="112"/>
  <c r="Z15" i="112" s="1"/>
  <c r="AA15" i="112" s="1"/>
  <c r="K5" i="115" s="1"/>
  <c r="AA60" i="112"/>
  <c r="V91" i="115" s="1"/>
  <c r="N50" i="110"/>
  <c r="P50" i="110"/>
  <c r="O50" i="110"/>
  <c r="Y14" i="112"/>
  <c r="Z14" i="112" s="1"/>
  <c r="AA14" i="112" s="1"/>
  <c r="T12" i="117" s="1"/>
  <c r="P49" i="110"/>
  <c r="O49" i="110"/>
  <c r="N49" i="110"/>
  <c r="V58" i="112"/>
  <c r="W58" i="112" s="1"/>
  <c r="Y12" i="112"/>
  <c r="Z12" i="112" s="1"/>
  <c r="AA12" i="112" s="1"/>
  <c r="Y20" i="112"/>
  <c r="Z20" i="112" s="1"/>
  <c r="AA20" i="112" s="1"/>
  <c r="M5" i="115" s="1"/>
  <c r="S62" i="112"/>
  <c r="Y26" i="102" s="1"/>
  <c r="S56" i="112"/>
  <c r="J55" i="116" s="1"/>
  <c r="U17" i="112"/>
  <c r="V17" i="112" s="1"/>
  <c r="W17" i="112" s="1"/>
  <c r="Y21" i="112"/>
  <c r="Z21" i="112" s="1"/>
  <c r="AA21" i="112" s="1"/>
  <c r="V5" i="117" s="1"/>
  <c r="N17" i="112"/>
  <c r="O17" i="112" s="1"/>
  <c r="S17" i="112" s="1"/>
  <c r="Y18" i="112"/>
  <c r="Z18" i="112" s="1"/>
  <c r="AA18" i="112" s="1"/>
  <c r="K5" i="117" s="1"/>
  <c r="Q30" i="112"/>
  <c r="R30" i="112" s="1"/>
  <c r="S30" i="112" s="1"/>
  <c r="I34" i="102"/>
  <c r="P34" i="102" s="1"/>
  <c r="J74" i="115"/>
  <c r="J75" i="115" s="1"/>
  <c r="Q36" i="112"/>
  <c r="R36" i="112" s="1"/>
  <c r="S38" i="112"/>
  <c r="V68" i="112"/>
  <c r="W68" i="112" s="1"/>
  <c r="V57" i="112"/>
  <c r="W57" i="112" s="1"/>
  <c r="N12" i="112"/>
  <c r="O12" i="112" s="1"/>
  <c r="S12" i="112" s="1"/>
  <c r="O11" i="112"/>
  <c r="S11" i="112" s="1"/>
  <c r="U15" i="112"/>
  <c r="V15" i="112" s="1"/>
  <c r="W15" i="112" s="1"/>
  <c r="K4" i="115" s="1"/>
  <c r="U18" i="112"/>
  <c r="V18" i="112" s="1"/>
  <c r="W18" i="112" s="1"/>
  <c r="U20" i="112"/>
  <c r="V20" i="112" s="1"/>
  <c r="W20" i="112" s="1"/>
  <c r="M4" i="115" s="1"/>
  <c r="S68" i="112"/>
  <c r="L53" i="110" s="1"/>
  <c r="V36" i="112"/>
  <c r="T34" i="102"/>
  <c r="Z34" i="102" s="1"/>
  <c r="U74" i="115"/>
  <c r="U75" i="115" s="1"/>
  <c r="T64" i="112"/>
  <c r="V64" i="112" s="1"/>
  <c r="W64" i="112" s="1"/>
  <c r="X64" i="112"/>
  <c r="Z64" i="112" s="1"/>
  <c r="AA64" i="112" s="1"/>
  <c r="R63" i="112"/>
  <c r="S63" i="112" s="1"/>
  <c r="R18" i="114"/>
  <c r="V62" i="112"/>
  <c r="W62" i="112" s="1"/>
  <c r="N14" i="112"/>
  <c r="O14" i="112" s="1"/>
  <c r="S14" i="112" s="1"/>
  <c r="U16" i="112"/>
  <c r="V16" i="112" s="1"/>
  <c r="W16" i="112" s="1"/>
  <c r="K36" i="115" s="1"/>
  <c r="N19" i="112"/>
  <c r="O19" i="112" s="1"/>
  <c r="S19" i="112" s="1"/>
  <c r="W41" i="112"/>
  <c r="I35" i="102"/>
  <c r="O35" i="102" s="1"/>
  <c r="R19" i="114"/>
  <c r="Y8" i="116"/>
  <c r="K33" i="115"/>
  <c r="U70" i="115"/>
  <c r="J67" i="115"/>
  <c r="T32" i="102"/>
  <c r="I31" i="102"/>
  <c r="L4" i="117"/>
  <c r="J15" i="117"/>
  <c r="V8" i="116"/>
  <c r="V5" i="116"/>
  <c r="J8" i="116"/>
  <c r="J5" i="116"/>
  <c r="K78" i="116"/>
  <c r="L4" i="115"/>
  <c r="L7" i="115"/>
  <c r="X8" i="115"/>
  <c r="M8" i="115"/>
  <c r="V8" i="117"/>
  <c r="L8" i="117"/>
  <c r="K8" i="117"/>
  <c r="K4" i="117"/>
  <c r="K7" i="117"/>
  <c r="V58" i="116"/>
  <c r="I30" i="110"/>
  <c r="N103" i="110"/>
  <c r="O103" i="110"/>
  <c r="P103" i="110"/>
  <c r="J8" i="115"/>
  <c r="U5" i="115"/>
  <c r="U8" i="115"/>
  <c r="J5" i="115"/>
  <c r="V56" i="112"/>
  <c r="W56" i="112" s="1"/>
  <c r="K113" i="116"/>
  <c r="T55" i="117"/>
  <c r="J55" i="117"/>
  <c r="T52" i="117"/>
  <c r="J52" i="117"/>
  <c r="S26" i="111"/>
  <c r="I26" i="111"/>
  <c r="S25" i="111"/>
  <c r="I25" i="111"/>
  <c r="T98" i="117"/>
  <c r="U106" i="115"/>
  <c r="S46" i="111"/>
  <c r="K43" i="117"/>
  <c r="K40" i="117"/>
  <c r="J20" i="111"/>
  <c r="J19" i="111"/>
  <c r="U58" i="115"/>
  <c r="J55" i="115"/>
  <c r="U55" i="115"/>
  <c r="T25" i="102"/>
  <c r="I26" i="102"/>
  <c r="J58" i="115"/>
  <c r="T26" i="102"/>
  <c r="I25" i="102"/>
  <c r="Q37" i="112"/>
  <c r="R37" i="112" s="1"/>
  <c r="W37" i="112" s="1"/>
  <c r="O37" i="112"/>
  <c r="V60" i="112"/>
  <c r="W60" i="112" s="1"/>
  <c r="X63" i="112"/>
  <c r="Z63" i="112" s="1"/>
  <c r="AA63" i="112" s="1"/>
  <c r="T63" i="112"/>
  <c r="V63" i="112" s="1"/>
  <c r="W63" i="112" s="1"/>
  <c r="V65" i="112"/>
  <c r="W65" i="112" s="1"/>
  <c r="P163" i="116"/>
  <c r="R163" i="116"/>
  <c r="Q163" i="116"/>
  <c r="S41" i="112"/>
  <c r="K25" i="102"/>
  <c r="K82" i="116"/>
  <c r="K79" i="116"/>
  <c r="Y17" i="112"/>
  <c r="Z17" i="112" s="1"/>
  <c r="AA17" i="112" s="1"/>
  <c r="Y16" i="112"/>
  <c r="Z16" i="112" s="1"/>
  <c r="AA16" i="112" s="1"/>
  <c r="U22" i="112"/>
  <c r="V22" i="112" s="1"/>
  <c r="W22" i="112" s="1"/>
  <c r="N16" i="112"/>
  <c r="O16" i="112" s="1"/>
  <c r="S16" i="112" s="1"/>
  <c r="N22" i="112"/>
  <c r="O22" i="112" s="1"/>
  <c r="S22" i="112" s="1"/>
  <c r="Y11" i="112"/>
  <c r="Z11" i="112" s="1"/>
  <c r="AA11" i="112" s="1"/>
  <c r="Z114" i="110"/>
  <c r="AA114" i="110"/>
  <c r="AB114" i="110"/>
  <c r="AD173" i="116"/>
  <c r="AC173" i="116"/>
  <c r="AB173" i="116"/>
  <c r="AA59" i="112"/>
  <c r="Q35" i="112"/>
  <c r="R35" i="112" s="1"/>
  <c r="O35" i="112"/>
  <c r="AB117" i="115"/>
  <c r="AA116" i="115"/>
  <c r="Z59" i="102"/>
  <c r="AB58" i="102"/>
  <c r="J40" i="117"/>
  <c r="T43" i="117"/>
  <c r="T40" i="117"/>
  <c r="J43" i="117"/>
  <c r="I19" i="111"/>
  <c r="S20" i="111"/>
  <c r="S19" i="111"/>
  <c r="I20" i="111"/>
  <c r="Y13" i="112"/>
  <c r="Z13" i="112" s="1"/>
  <c r="AA13" i="112" s="1"/>
  <c r="U12" i="112"/>
  <c r="V12" i="112" s="1"/>
  <c r="W12" i="112" s="1"/>
  <c r="N8" i="112"/>
  <c r="O8" i="112" s="1"/>
  <c r="S8" i="112" s="1"/>
  <c r="AA83" i="110"/>
  <c r="Z83" i="110"/>
  <c r="AB83" i="110"/>
  <c r="X63" i="111"/>
  <c r="Y63" i="111"/>
  <c r="Z63" i="111"/>
  <c r="AC143" i="116"/>
  <c r="AB143" i="116"/>
  <c r="AD143" i="116"/>
  <c r="N47" i="110"/>
  <c r="O47" i="110"/>
  <c r="P47" i="110"/>
  <c r="Y9" i="112"/>
  <c r="Z9" i="112" s="1"/>
  <c r="AA9" i="112" s="1"/>
  <c r="AA34" i="102"/>
  <c r="S36" i="112"/>
  <c r="U11" i="112"/>
  <c r="V11" i="112" s="1"/>
  <c r="W11" i="112" s="1"/>
  <c r="W127" i="117"/>
  <c r="M127" i="117"/>
  <c r="Z167" i="116"/>
  <c r="Z166" i="116"/>
  <c r="O166" i="116"/>
  <c r="N132" i="115"/>
  <c r="V84" i="111"/>
  <c r="L84" i="111"/>
  <c r="X109" i="110"/>
  <c r="M109" i="110"/>
  <c r="M75" i="102"/>
  <c r="M108" i="110"/>
  <c r="S40" i="112"/>
  <c r="Y19" i="112"/>
  <c r="Z19" i="112" s="1"/>
  <c r="AA19" i="112" s="1"/>
  <c r="AB83" i="102"/>
  <c r="Z83" i="102"/>
  <c r="V61" i="112"/>
  <c r="AA56" i="112"/>
  <c r="Q51" i="112"/>
  <c r="R51" i="112" s="1"/>
  <c r="O51" i="112"/>
  <c r="O61" i="112"/>
  <c r="Q61" i="112"/>
  <c r="R61" i="112" s="1"/>
  <c r="Z62" i="111"/>
  <c r="X62" i="111"/>
  <c r="Y62" i="111"/>
  <c r="AC144" i="116"/>
  <c r="AB144" i="116"/>
  <c r="AD144" i="116"/>
  <c r="Q85" i="116"/>
  <c r="P85" i="116"/>
  <c r="R85" i="116"/>
  <c r="W30" i="112"/>
  <c r="J110" i="117"/>
  <c r="T116" i="117"/>
  <c r="J123" i="115"/>
  <c r="J120" i="115"/>
  <c r="I88" i="110"/>
  <c r="T65" i="102"/>
  <c r="J77" i="115"/>
  <c r="O76" i="115"/>
  <c r="Q76" i="115"/>
  <c r="P76" i="115"/>
  <c r="Q162" i="116"/>
  <c r="R162" i="116"/>
  <c r="AA100" i="116"/>
  <c r="AA97" i="116"/>
  <c r="Y56" i="110"/>
  <c r="Y55" i="110"/>
  <c r="N18" i="112"/>
  <c r="O18" i="112" s="1"/>
  <c r="S18" i="112" s="1"/>
  <c r="AB84" i="102"/>
  <c r="Z84" i="102"/>
  <c r="V94" i="115"/>
  <c r="U9" i="112"/>
  <c r="V9" i="112" s="1"/>
  <c r="W9" i="112" s="1"/>
  <c r="AA68" i="112"/>
  <c r="S64" i="112"/>
  <c r="U13" i="112"/>
  <c r="V13" i="112" s="1"/>
  <c r="W13" i="112" s="1"/>
  <c r="Y105" i="117"/>
  <c r="AA105" i="117"/>
  <c r="Z105" i="117"/>
  <c r="O48" i="110"/>
  <c r="N48" i="110"/>
  <c r="P48" i="110"/>
  <c r="R87" i="116"/>
  <c r="P87" i="116"/>
  <c r="Q87" i="116"/>
  <c r="AB35" i="102"/>
  <c r="W34" i="112"/>
  <c r="N81" i="111"/>
  <c r="O81" i="111"/>
  <c r="P124" i="117"/>
  <c r="N124" i="117"/>
  <c r="O124" i="117"/>
  <c r="V34" i="115"/>
  <c r="V8" i="115"/>
  <c r="K8" i="115"/>
  <c r="V37" i="115"/>
  <c r="U14" i="112"/>
  <c r="V14" i="112" s="1"/>
  <c r="W14" i="112" s="1"/>
  <c r="V67" i="112"/>
  <c r="W67" i="112" s="1"/>
  <c r="V59" i="112"/>
  <c r="W59" i="112" s="1"/>
  <c r="P102" i="110"/>
  <c r="N102" i="110"/>
  <c r="O102" i="110"/>
  <c r="K73" i="116"/>
  <c r="K75" i="116"/>
  <c r="N21" i="112"/>
  <c r="O21" i="112" s="1"/>
  <c r="S21" i="112" s="1"/>
  <c r="N15" i="112"/>
  <c r="O15" i="112" s="1"/>
  <c r="S15" i="112" s="1"/>
  <c r="U7" i="115"/>
  <c r="N20" i="112"/>
  <c r="O20" i="112" s="1"/>
  <c r="S20" i="112" s="1"/>
  <c r="AA115" i="110"/>
  <c r="Z115" i="110"/>
  <c r="AB115" i="110"/>
  <c r="AC172" i="116"/>
  <c r="AB172" i="116"/>
  <c r="AD172" i="116"/>
  <c r="S66" i="112"/>
  <c r="K114" i="116"/>
  <c r="K111" i="116"/>
  <c r="W114" i="116"/>
  <c r="W111" i="116"/>
  <c r="Z58" i="115"/>
  <c r="W40" i="112"/>
  <c r="N10" i="112"/>
  <c r="O10" i="112" s="1"/>
  <c r="S10" i="112" s="1"/>
  <c r="T61" i="117"/>
  <c r="J61" i="117"/>
  <c r="J59" i="117"/>
  <c r="T59" i="117"/>
  <c r="S29" i="111"/>
  <c r="I29" i="111"/>
  <c r="S28" i="111"/>
  <c r="I28" i="111"/>
  <c r="AA84" i="110"/>
  <c r="Z84" i="110"/>
  <c r="AB84" i="110"/>
  <c r="Z106" i="117"/>
  <c r="AA106" i="117"/>
  <c r="Y106" i="117"/>
  <c r="N34" i="111"/>
  <c r="M34" i="111"/>
  <c r="O34" i="111"/>
  <c r="P69" i="117"/>
  <c r="N69" i="117"/>
  <c r="O69" i="117"/>
  <c r="AA57" i="112"/>
  <c r="Y8" i="112"/>
  <c r="Z8" i="112" s="1"/>
  <c r="AA8" i="112" s="1"/>
  <c r="X7" i="115" l="1"/>
  <c r="X4" i="115"/>
  <c r="W4" i="117"/>
  <c r="N7" i="115"/>
  <c r="M4" i="117"/>
  <c r="M7" i="117"/>
  <c r="W7" i="117"/>
  <c r="Y4" i="115"/>
  <c r="N4" i="115"/>
  <c r="Y7" i="115"/>
  <c r="L55" i="115"/>
  <c r="T71" i="110"/>
  <c r="J98" i="117"/>
  <c r="N98" i="117" s="1"/>
  <c r="M8" i="116"/>
  <c r="V5" i="115"/>
  <c r="I63" i="102"/>
  <c r="I66" i="111"/>
  <c r="M66" i="111" s="1"/>
  <c r="J147" i="116"/>
  <c r="Q147" i="116" s="1"/>
  <c r="L58" i="115"/>
  <c r="T50" i="102"/>
  <c r="S56" i="111"/>
  <c r="X56" i="111" s="1"/>
  <c r="V131" i="116"/>
  <c r="AB131" i="116" s="1"/>
  <c r="L5" i="117"/>
  <c r="X5" i="115"/>
  <c r="J12" i="117"/>
  <c r="O12" i="117" s="1"/>
  <c r="L4" i="116"/>
  <c r="T31" i="102"/>
  <c r="U67" i="115"/>
  <c r="M5" i="116"/>
  <c r="AC76" i="115"/>
  <c r="AA51" i="112"/>
  <c r="I50" i="102"/>
  <c r="J105" i="115"/>
  <c r="P105" i="115" s="1"/>
  <c r="T15" i="117"/>
  <c r="AA15" i="117" s="1"/>
  <c r="K91" i="115"/>
  <c r="T87" i="110"/>
  <c r="I72" i="111"/>
  <c r="M72" i="111" s="1"/>
  <c r="J153" i="116"/>
  <c r="Q153" i="116" s="1"/>
  <c r="S54" i="111"/>
  <c r="I46" i="111"/>
  <c r="I32" i="102"/>
  <c r="O32" i="102" s="1"/>
  <c r="AA35" i="102"/>
  <c r="AB34" i="102"/>
  <c r="W115" i="117"/>
  <c r="AA115" i="117" s="1"/>
  <c r="X111" i="110"/>
  <c r="Z111" i="110" s="1"/>
  <c r="V72" i="111"/>
  <c r="X112" i="110"/>
  <c r="Z112" i="110" s="1"/>
  <c r="Z55" i="115"/>
  <c r="J4" i="115"/>
  <c r="O4" i="115" s="1"/>
  <c r="U77" i="115"/>
  <c r="AA77" i="115" s="1"/>
  <c r="I66" i="102"/>
  <c r="N66" i="102" s="1"/>
  <c r="I62" i="102"/>
  <c r="P62" i="102" s="1"/>
  <c r="T93" i="110"/>
  <c r="Z93" i="110" s="1"/>
  <c r="I94" i="110"/>
  <c r="P94" i="110" s="1"/>
  <c r="S66" i="111"/>
  <c r="X66" i="111" s="1"/>
  <c r="S72" i="111"/>
  <c r="U120" i="115"/>
  <c r="AB120" i="115" s="1"/>
  <c r="U123" i="115"/>
  <c r="AC123" i="115" s="1"/>
  <c r="V147" i="116"/>
  <c r="AD147" i="116" s="1"/>
  <c r="V153" i="116"/>
  <c r="AB153" i="116" s="1"/>
  <c r="J116" i="117"/>
  <c r="O116" i="117" s="1"/>
  <c r="T110" i="117"/>
  <c r="Z110" i="117" s="1"/>
  <c r="K110" i="116"/>
  <c r="V7" i="117"/>
  <c r="P74" i="115"/>
  <c r="U4" i="115"/>
  <c r="T63" i="102"/>
  <c r="AB63" i="102" s="1"/>
  <c r="I65" i="102"/>
  <c r="O65" i="102" s="1"/>
  <c r="I87" i="110"/>
  <c r="N87" i="110" s="1"/>
  <c r="T88" i="110"/>
  <c r="Z88" i="110" s="1"/>
  <c r="I67" i="111"/>
  <c r="O67" i="111" s="1"/>
  <c r="I73" i="111"/>
  <c r="O73" i="111" s="1"/>
  <c r="J121" i="115"/>
  <c r="P121" i="115" s="1"/>
  <c r="J124" i="115"/>
  <c r="P124" i="115" s="1"/>
  <c r="J148" i="116"/>
  <c r="P148" i="116" s="1"/>
  <c r="J154" i="116"/>
  <c r="R154" i="116" s="1"/>
  <c r="J109" i="117"/>
  <c r="N109" i="117" s="1"/>
  <c r="J115" i="117"/>
  <c r="P115" i="117" s="1"/>
  <c r="W110" i="116"/>
  <c r="V4" i="117"/>
  <c r="AA76" i="115"/>
  <c r="Y25" i="102"/>
  <c r="T66" i="102"/>
  <c r="AB66" i="102" s="1"/>
  <c r="T62" i="102"/>
  <c r="Z62" i="102" s="1"/>
  <c r="I93" i="110"/>
  <c r="N93" i="110" s="1"/>
  <c r="T94" i="110"/>
  <c r="Z94" i="110" s="1"/>
  <c r="S67" i="111"/>
  <c r="Z67" i="111" s="1"/>
  <c r="S73" i="111"/>
  <c r="Y73" i="111" s="1"/>
  <c r="U121" i="115"/>
  <c r="AB121" i="115" s="1"/>
  <c r="U124" i="115"/>
  <c r="AB124" i="115" s="1"/>
  <c r="V148" i="116"/>
  <c r="AC148" i="116" s="1"/>
  <c r="V154" i="116"/>
  <c r="AC154" i="116" s="1"/>
  <c r="T109" i="117"/>
  <c r="Z109" i="117" s="1"/>
  <c r="Q74" i="115"/>
  <c r="O74" i="115"/>
  <c r="N34" i="102"/>
  <c r="T55" i="102"/>
  <c r="AB55" i="102" s="1"/>
  <c r="I55" i="102"/>
  <c r="P55" i="102" s="1"/>
  <c r="S53" i="111"/>
  <c r="X53" i="111" s="1"/>
  <c r="I72" i="110"/>
  <c r="O72" i="110" s="1"/>
  <c r="S57" i="111"/>
  <c r="X57" i="111" s="1"/>
  <c r="I53" i="111"/>
  <c r="O53" i="111" s="1"/>
  <c r="U112" i="115"/>
  <c r="AB112" i="115" s="1"/>
  <c r="J106" i="115"/>
  <c r="P106" i="115" s="1"/>
  <c r="J131" i="116"/>
  <c r="Q131" i="116" s="1"/>
  <c r="V132" i="116"/>
  <c r="AD132" i="116" s="1"/>
  <c r="T92" i="117"/>
  <c r="Y92" i="117" s="1"/>
  <c r="J92" i="117"/>
  <c r="P92" i="117" s="1"/>
  <c r="T56" i="102"/>
  <c r="AA56" i="102" s="1"/>
  <c r="I74" i="110"/>
  <c r="P74" i="110" s="1"/>
  <c r="I56" i="102"/>
  <c r="P56" i="102" s="1"/>
  <c r="I47" i="111"/>
  <c r="M47" i="111" s="1"/>
  <c r="I56" i="111"/>
  <c r="M56" i="111" s="1"/>
  <c r="T74" i="110"/>
  <c r="AB74" i="110" s="1"/>
  <c r="I71" i="110"/>
  <c r="O71" i="110" s="1"/>
  <c r="I54" i="111"/>
  <c r="N54" i="111" s="1"/>
  <c r="J113" i="115"/>
  <c r="P113" i="115" s="1"/>
  <c r="U113" i="115"/>
  <c r="AC113" i="115" s="1"/>
  <c r="V134" i="116"/>
  <c r="AB134" i="116" s="1"/>
  <c r="J134" i="116"/>
  <c r="Q134" i="116" s="1"/>
  <c r="T99" i="117"/>
  <c r="Z99" i="117" s="1"/>
  <c r="J99" i="117"/>
  <c r="N99" i="117" s="1"/>
  <c r="I49" i="102"/>
  <c r="P49" i="102" s="1"/>
  <c r="T49" i="102"/>
  <c r="AA49" i="102" s="1"/>
  <c r="T72" i="110"/>
  <c r="Z72" i="110" s="1"/>
  <c r="T75" i="110"/>
  <c r="Z75" i="110" s="1"/>
  <c r="I57" i="111"/>
  <c r="S47" i="111"/>
  <c r="Z47" i="111" s="1"/>
  <c r="I75" i="110"/>
  <c r="P75" i="110" s="1"/>
  <c r="U105" i="115"/>
  <c r="AC105" i="115" s="1"/>
  <c r="J132" i="116"/>
  <c r="J112" i="115"/>
  <c r="O112" i="115" s="1"/>
  <c r="J135" i="116"/>
  <c r="P135" i="116" s="1"/>
  <c r="T91" i="117"/>
  <c r="AA91" i="117" s="1"/>
  <c r="J91" i="117"/>
  <c r="X108" i="110"/>
  <c r="AB108" i="110" s="1"/>
  <c r="M74" i="102"/>
  <c r="N74" i="102" s="1"/>
  <c r="N133" i="115"/>
  <c r="P133" i="115" s="1"/>
  <c r="AB116" i="115"/>
  <c r="AA59" i="102"/>
  <c r="AC120" i="115"/>
  <c r="AA123" i="115"/>
  <c r="AD134" i="116"/>
  <c r="AC134" i="116"/>
  <c r="P105" i="110"/>
  <c r="O105" i="110"/>
  <c r="N105" i="110"/>
  <c r="AC116" i="115"/>
  <c r="AB59" i="102"/>
  <c r="AC117" i="115"/>
  <c r="Z58" i="102"/>
  <c r="O106" i="110"/>
  <c r="N106" i="110"/>
  <c r="P106" i="110"/>
  <c r="AA117" i="115"/>
  <c r="AA58" i="102"/>
  <c r="AC124" i="115"/>
  <c r="AA124" i="115"/>
  <c r="AC106" i="115"/>
  <c r="AB106" i="115"/>
  <c r="AA106" i="115"/>
  <c r="AD135" i="116"/>
  <c r="AC135" i="116"/>
  <c r="AB135" i="116"/>
  <c r="I29" i="110"/>
  <c r="V55" i="116"/>
  <c r="AB55" i="116" s="1"/>
  <c r="T30" i="110"/>
  <c r="J58" i="116"/>
  <c r="J60" i="116" s="1"/>
  <c r="P37" i="102"/>
  <c r="O36" i="110"/>
  <c r="P79" i="115"/>
  <c r="N90" i="116"/>
  <c r="Q90" i="116" s="1"/>
  <c r="N35" i="102"/>
  <c r="W51" i="112"/>
  <c r="V4" i="115"/>
  <c r="T29" i="110"/>
  <c r="AB29" i="110" s="1"/>
  <c r="AB49" i="115"/>
  <c r="AA49" i="115"/>
  <c r="AC49" i="115"/>
  <c r="AC75" i="115"/>
  <c r="AB75" i="115"/>
  <c r="AA75" i="115"/>
  <c r="AC67" i="115"/>
  <c r="AB67" i="115"/>
  <c r="AA67" i="115"/>
  <c r="O34" i="102"/>
  <c r="AC37" i="115"/>
  <c r="AB37" i="115"/>
  <c r="AA37" i="115"/>
  <c r="K94" i="115"/>
  <c r="N93" i="116"/>
  <c r="Q93" i="116" s="1"/>
  <c r="P35" i="102"/>
  <c r="S61" i="112"/>
  <c r="Z119" i="116" s="1"/>
  <c r="AA52" i="115"/>
  <c r="AC52" i="115"/>
  <c r="AB52" i="115"/>
  <c r="V7" i="115"/>
  <c r="AC7" i="115" s="1"/>
  <c r="K7" i="115"/>
  <c r="P26" i="116"/>
  <c r="M7" i="115"/>
  <c r="AB74" i="115"/>
  <c r="AA74" i="115"/>
  <c r="AC74" i="115"/>
  <c r="AC42" i="115"/>
  <c r="AB42" i="115"/>
  <c r="AA42" i="115"/>
  <c r="AC70" i="115"/>
  <c r="AB70" i="115"/>
  <c r="AA70" i="115"/>
  <c r="AD123" i="116"/>
  <c r="AA68" i="110"/>
  <c r="AC126" i="116"/>
  <c r="Z46" i="102"/>
  <c r="AC34" i="115"/>
  <c r="AB34" i="115"/>
  <c r="AA34" i="115"/>
  <c r="L52" i="110"/>
  <c r="N52" i="110" s="1"/>
  <c r="AB44" i="115"/>
  <c r="AA44" i="115"/>
  <c r="AC44" i="115"/>
  <c r="V36" i="115"/>
  <c r="V33" i="115"/>
  <c r="AB77" i="115"/>
  <c r="AC41" i="115"/>
  <c r="AA41" i="115"/>
  <c r="AB41" i="115"/>
  <c r="S35" i="112"/>
  <c r="X84" i="115" s="1"/>
  <c r="S37" i="112"/>
  <c r="Y74" i="116" s="1"/>
  <c r="AC45" i="115"/>
  <c r="AA45" i="115"/>
  <c r="AB45" i="115"/>
  <c r="W36" i="112"/>
  <c r="T96" i="110"/>
  <c r="J113" i="117"/>
  <c r="T118" i="117"/>
  <c r="Z170" i="116"/>
  <c r="J156" i="116"/>
  <c r="J150" i="116"/>
  <c r="I75" i="111"/>
  <c r="I69" i="111"/>
  <c r="I91" i="110"/>
  <c r="T113" i="117"/>
  <c r="V156" i="116"/>
  <c r="S75" i="111"/>
  <c r="I97" i="110"/>
  <c r="T112" i="117"/>
  <c r="T119" i="117"/>
  <c r="V157" i="116"/>
  <c r="V151" i="116"/>
  <c r="S76" i="111"/>
  <c r="S70" i="111"/>
  <c r="T97" i="110"/>
  <c r="I96" i="110"/>
  <c r="T90" i="110"/>
  <c r="J119" i="117"/>
  <c r="V150" i="116"/>
  <c r="S69" i="111"/>
  <c r="J112" i="117"/>
  <c r="Z169" i="116"/>
  <c r="J157" i="116"/>
  <c r="J151" i="116"/>
  <c r="I76" i="111"/>
  <c r="I70" i="111"/>
  <c r="T91" i="110"/>
  <c r="I90" i="110"/>
  <c r="J118" i="117"/>
  <c r="J62" i="115"/>
  <c r="I28" i="102"/>
  <c r="U62" i="115"/>
  <c r="U64" i="115"/>
  <c r="T29" i="102"/>
  <c r="T28" i="102"/>
  <c r="J64" i="115"/>
  <c r="I29" i="102"/>
  <c r="P61" i="117"/>
  <c r="N61" i="117"/>
  <c r="J62" i="117"/>
  <c r="O61" i="117"/>
  <c r="O75" i="115"/>
  <c r="Q75" i="115"/>
  <c r="P75" i="115"/>
  <c r="O31" i="111"/>
  <c r="M31" i="111"/>
  <c r="N31" i="111"/>
  <c r="P69" i="116"/>
  <c r="Q69" i="116"/>
  <c r="R69" i="116"/>
  <c r="P93" i="116"/>
  <c r="AD43" i="116"/>
  <c r="AB43" i="116"/>
  <c r="AC43" i="116"/>
  <c r="P81" i="115"/>
  <c r="Q81" i="115"/>
  <c r="O81" i="115"/>
  <c r="N66" i="117"/>
  <c r="P66" i="117"/>
  <c r="O66" i="117"/>
  <c r="P126" i="115"/>
  <c r="Q126" i="115"/>
  <c r="O126" i="115"/>
  <c r="AA101" i="116"/>
  <c r="AD100" i="116"/>
  <c r="AB100" i="116"/>
  <c r="AA102" i="116"/>
  <c r="AC100" i="116"/>
  <c r="Z28" i="111"/>
  <c r="X28" i="111"/>
  <c r="Y28" i="111"/>
  <c r="P59" i="117"/>
  <c r="J60" i="117"/>
  <c r="N59" i="117"/>
  <c r="O59" i="117"/>
  <c r="Z56" i="115"/>
  <c r="Z57" i="115"/>
  <c r="R51" i="116"/>
  <c r="P51" i="116"/>
  <c r="Q51" i="116"/>
  <c r="T14" i="117"/>
  <c r="J14" i="117"/>
  <c r="T11" i="117"/>
  <c r="J11" i="117"/>
  <c r="Q79" i="115"/>
  <c r="P64" i="117"/>
  <c r="N64" i="117"/>
  <c r="O64" i="117"/>
  <c r="P88" i="116"/>
  <c r="Q88" i="116"/>
  <c r="R88" i="116"/>
  <c r="AB68" i="110"/>
  <c r="AC123" i="116"/>
  <c r="P53" i="110"/>
  <c r="N53" i="110"/>
  <c r="O53" i="110"/>
  <c r="O84" i="110"/>
  <c r="N84" i="110"/>
  <c r="P84" i="110"/>
  <c r="Q48" i="115"/>
  <c r="O48" i="115"/>
  <c r="P48" i="115"/>
  <c r="O68" i="102"/>
  <c r="N68" i="102"/>
  <c r="P68" i="102"/>
  <c r="M79" i="111"/>
  <c r="N79" i="111"/>
  <c r="O79" i="111"/>
  <c r="R160" i="116"/>
  <c r="P160" i="116"/>
  <c r="Q160" i="116"/>
  <c r="AA55" i="110"/>
  <c r="Z55" i="110"/>
  <c r="AB55" i="110"/>
  <c r="AB112" i="110"/>
  <c r="N65" i="102"/>
  <c r="P65" i="102"/>
  <c r="AA88" i="110"/>
  <c r="N67" i="111"/>
  <c r="M73" i="111"/>
  <c r="N73" i="111"/>
  <c r="Q124" i="115"/>
  <c r="O124" i="115"/>
  <c r="R148" i="116"/>
  <c r="Q154" i="116"/>
  <c r="P109" i="117"/>
  <c r="O115" i="117"/>
  <c r="R86" i="116"/>
  <c r="Q86" i="116"/>
  <c r="P86" i="116"/>
  <c r="AA80" i="110"/>
  <c r="Z80" i="110"/>
  <c r="AB80" i="110"/>
  <c r="Q141" i="116"/>
  <c r="R141" i="116"/>
  <c r="P141" i="116"/>
  <c r="S51" i="112"/>
  <c r="AA29" i="117"/>
  <c r="Z29" i="117"/>
  <c r="Y29" i="117"/>
  <c r="P37" i="117"/>
  <c r="N37" i="117"/>
  <c r="O37" i="117"/>
  <c r="V64" i="116"/>
  <c r="J64" i="116"/>
  <c r="V62" i="116"/>
  <c r="J62" i="116"/>
  <c r="T33" i="110"/>
  <c r="I33" i="110"/>
  <c r="I32" i="110"/>
  <c r="T32" i="110"/>
  <c r="O109" i="110"/>
  <c r="N109" i="110"/>
  <c r="P109" i="110"/>
  <c r="X84" i="111"/>
  <c r="Y84" i="111"/>
  <c r="Z84" i="111"/>
  <c r="AC166" i="116"/>
  <c r="AB166" i="116"/>
  <c r="AD166" i="116"/>
  <c r="Z127" i="117"/>
  <c r="AA127" i="117"/>
  <c r="Y127" i="117"/>
  <c r="U12" i="115"/>
  <c r="J12" i="115"/>
  <c r="J15" i="115"/>
  <c r="U15" i="115"/>
  <c r="J7" i="116"/>
  <c r="V4" i="116"/>
  <c r="V7" i="116"/>
  <c r="J4" i="116"/>
  <c r="T45" i="117"/>
  <c r="T44" i="117"/>
  <c r="K34" i="115"/>
  <c r="K37" i="115"/>
  <c r="R82" i="116"/>
  <c r="P82" i="116"/>
  <c r="Q82" i="116"/>
  <c r="L60" i="115"/>
  <c r="L59" i="115"/>
  <c r="T49" i="117"/>
  <c r="J49" i="117"/>
  <c r="T47" i="117"/>
  <c r="J47" i="117"/>
  <c r="S23" i="111"/>
  <c r="I23" i="111"/>
  <c r="S22" i="111"/>
  <c r="I22" i="111"/>
  <c r="K93" i="115"/>
  <c r="K90" i="115"/>
  <c r="V93" i="115"/>
  <c r="V90" i="115"/>
  <c r="U57" i="115"/>
  <c r="U56" i="115"/>
  <c r="P50" i="102"/>
  <c r="O50" i="102"/>
  <c r="N50" i="102"/>
  <c r="AA50" i="102"/>
  <c r="Z50" i="102"/>
  <c r="AB50" i="102"/>
  <c r="X54" i="111"/>
  <c r="Y54" i="111"/>
  <c r="Z54" i="111"/>
  <c r="Y46" i="111"/>
  <c r="X46" i="111"/>
  <c r="Z46" i="111"/>
  <c r="Z71" i="110"/>
  <c r="AA71" i="110"/>
  <c r="AB71" i="110"/>
  <c r="Z56" i="111"/>
  <c r="O46" i="111"/>
  <c r="N46" i="111"/>
  <c r="M46" i="111"/>
  <c r="O105" i="115"/>
  <c r="AC131" i="116"/>
  <c r="Z98" i="117"/>
  <c r="Y98" i="117"/>
  <c r="AA98" i="117"/>
  <c r="P98" i="117"/>
  <c r="O98" i="117"/>
  <c r="O25" i="111"/>
  <c r="M25" i="111"/>
  <c r="N25" i="111"/>
  <c r="J54" i="117"/>
  <c r="J53" i="117"/>
  <c r="P52" i="117"/>
  <c r="N52" i="117"/>
  <c r="O52" i="117"/>
  <c r="AA30" i="117"/>
  <c r="Y30" i="117"/>
  <c r="Z30" i="117"/>
  <c r="R50" i="116"/>
  <c r="Q50" i="116"/>
  <c r="P50" i="116"/>
  <c r="AA30" i="110"/>
  <c r="Z30" i="110"/>
  <c r="AB30" i="110"/>
  <c r="Q26" i="116"/>
  <c r="AA37" i="117"/>
  <c r="Y37" i="117"/>
  <c r="Z37" i="117"/>
  <c r="AA12" i="117"/>
  <c r="Z12" i="117"/>
  <c r="Y12" i="117"/>
  <c r="AB32" i="102"/>
  <c r="Z32" i="102"/>
  <c r="AA32" i="102"/>
  <c r="U72" i="115"/>
  <c r="U71" i="115"/>
  <c r="K87" i="115"/>
  <c r="K85" i="115"/>
  <c r="V87" i="115"/>
  <c r="V85" i="115"/>
  <c r="O35" i="110"/>
  <c r="N35" i="110"/>
  <c r="P35" i="110"/>
  <c r="M32" i="111"/>
  <c r="N32" i="111"/>
  <c r="O32" i="111"/>
  <c r="R67" i="116"/>
  <c r="Q67" i="116"/>
  <c r="P67" i="116"/>
  <c r="T7" i="117"/>
  <c r="J4" i="117"/>
  <c r="T4" i="117"/>
  <c r="J7" i="117"/>
  <c r="AA47" i="102"/>
  <c r="Z47" i="102"/>
  <c r="AB47" i="102"/>
  <c r="W14" i="116"/>
  <c r="K14" i="116"/>
  <c r="K11" i="116"/>
  <c r="W7" i="116"/>
  <c r="K7" i="116"/>
  <c r="K4" i="116"/>
  <c r="W4" i="116"/>
  <c r="W11" i="116"/>
  <c r="Q143" i="116"/>
  <c r="R143" i="116"/>
  <c r="P143" i="116"/>
  <c r="Q51" i="115"/>
  <c r="O51" i="115"/>
  <c r="P51" i="115"/>
  <c r="P69" i="102"/>
  <c r="O69" i="102"/>
  <c r="N69" i="102"/>
  <c r="O78" i="111"/>
  <c r="M78" i="111"/>
  <c r="N78" i="111"/>
  <c r="Q159" i="116"/>
  <c r="R159" i="116"/>
  <c r="P159" i="116"/>
  <c r="AB56" i="110"/>
  <c r="AA56" i="110"/>
  <c r="Z56" i="110"/>
  <c r="AA94" i="110"/>
  <c r="Z73" i="111"/>
  <c r="X73" i="111"/>
  <c r="AB154" i="116"/>
  <c r="AD154" i="116"/>
  <c r="Y115" i="117"/>
  <c r="AC141" i="116"/>
  <c r="AB141" i="116"/>
  <c r="AD141" i="116"/>
  <c r="R33" i="116"/>
  <c r="Q33" i="116"/>
  <c r="P33" i="116"/>
  <c r="Q133" i="115"/>
  <c r="R167" i="116"/>
  <c r="Q167" i="116"/>
  <c r="P167" i="116"/>
  <c r="V73" i="117"/>
  <c r="L73" i="117"/>
  <c r="V75" i="117"/>
  <c r="L75" i="117"/>
  <c r="K37" i="111"/>
  <c r="K36" i="111"/>
  <c r="U37" i="111"/>
  <c r="U36" i="111"/>
  <c r="W15" i="116"/>
  <c r="K15" i="116"/>
  <c r="W8" i="116"/>
  <c r="AC8" i="116" s="1"/>
  <c r="W12" i="116"/>
  <c r="K12" i="116"/>
  <c r="K8" i="116"/>
  <c r="K5" i="116"/>
  <c r="W5" i="116"/>
  <c r="AD5" i="116" s="1"/>
  <c r="T8" i="117"/>
  <c r="J8" i="117"/>
  <c r="T5" i="117"/>
  <c r="J5" i="117"/>
  <c r="O19" i="111"/>
  <c r="N19" i="111"/>
  <c r="M19" i="111"/>
  <c r="J42" i="117"/>
  <c r="P40" i="117"/>
  <c r="O40" i="117"/>
  <c r="N40" i="117"/>
  <c r="J41" i="117"/>
  <c r="X86" i="115"/>
  <c r="M86" i="115"/>
  <c r="O86" i="115" s="1"/>
  <c r="W41" i="102"/>
  <c r="L41" i="102"/>
  <c r="O41" i="102" s="1"/>
  <c r="Y7" i="116"/>
  <c r="Y4" i="116"/>
  <c r="M4" i="116"/>
  <c r="M7" i="116"/>
  <c r="J60" i="115"/>
  <c r="O58" i="115"/>
  <c r="J59" i="115"/>
  <c r="P58" i="115"/>
  <c r="Q58" i="115"/>
  <c r="J56" i="115"/>
  <c r="P55" i="115"/>
  <c r="J57" i="115"/>
  <c r="O55" i="115"/>
  <c r="Q55" i="115"/>
  <c r="K41" i="117"/>
  <c r="K42" i="117"/>
  <c r="Y53" i="111"/>
  <c r="P72" i="110"/>
  <c r="M53" i="111"/>
  <c r="Q106" i="115"/>
  <c r="O106" i="115"/>
  <c r="AB132" i="116"/>
  <c r="AC132" i="116"/>
  <c r="AA92" i="117"/>
  <c r="O92" i="117"/>
  <c r="Z25" i="111"/>
  <c r="X25" i="111"/>
  <c r="Y25" i="111"/>
  <c r="T54" i="117"/>
  <c r="T53" i="117"/>
  <c r="AA52" i="117"/>
  <c r="Y52" i="117"/>
  <c r="Z52" i="117"/>
  <c r="AA29" i="110"/>
  <c r="J56" i="116"/>
  <c r="J57" i="116"/>
  <c r="P29" i="116"/>
  <c r="Q29" i="116"/>
  <c r="R29" i="116"/>
  <c r="Q49" i="115"/>
  <c r="P49" i="115"/>
  <c r="O49" i="115"/>
  <c r="R78" i="116"/>
  <c r="Q78" i="116"/>
  <c r="P78" i="116"/>
  <c r="N15" i="117"/>
  <c r="O15" i="117"/>
  <c r="P15" i="117"/>
  <c r="P31" i="102"/>
  <c r="N31" i="102"/>
  <c r="O31" i="102"/>
  <c r="O67" i="115"/>
  <c r="J69" i="115"/>
  <c r="J68" i="115"/>
  <c r="P67" i="115"/>
  <c r="Q67" i="115"/>
  <c r="P36" i="115"/>
  <c r="O36" i="115"/>
  <c r="Q36" i="115"/>
  <c r="N95" i="117"/>
  <c r="P95" i="117"/>
  <c r="O95" i="117"/>
  <c r="O29" i="111"/>
  <c r="M29" i="111"/>
  <c r="N29" i="111"/>
  <c r="O70" i="117"/>
  <c r="N70" i="117"/>
  <c r="P70" i="117"/>
  <c r="AA61" i="117"/>
  <c r="Y61" i="117"/>
  <c r="T62" i="117"/>
  <c r="Z61" i="117"/>
  <c r="Q144" i="116"/>
  <c r="R144" i="116"/>
  <c r="P144" i="116"/>
  <c r="R34" i="116"/>
  <c r="P34" i="116"/>
  <c r="Q34" i="116"/>
  <c r="O99" i="110"/>
  <c r="N99" i="110"/>
  <c r="P99" i="110"/>
  <c r="Q127" i="115"/>
  <c r="O127" i="115"/>
  <c r="P127" i="115"/>
  <c r="N121" i="117"/>
  <c r="P121" i="117"/>
  <c r="O121" i="117"/>
  <c r="AB97" i="116"/>
  <c r="AA99" i="116"/>
  <c r="AC97" i="116"/>
  <c r="AA98" i="116"/>
  <c r="AD97" i="116"/>
  <c r="O77" i="115"/>
  <c r="Q77" i="115"/>
  <c r="P77" i="115"/>
  <c r="O63" i="102"/>
  <c r="N63" i="102"/>
  <c r="P63" i="102"/>
  <c r="AA87" i="110"/>
  <c r="Z87" i="110"/>
  <c r="AB87" i="110"/>
  <c r="AA65" i="102"/>
  <c r="Z65" i="102"/>
  <c r="AB65" i="102"/>
  <c r="O88" i="110"/>
  <c r="N88" i="110"/>
  <c r="P88" i="110"/>
  <c r="N66" i="111"/>
  <c r="O66" i="111"/>
  <c r="O72" i="111"/>
  <c r="P120" i="115"/>
  <c r="Q120" i="115"/>
  <c r="O120" i="115"/>
  <c r="P123" i="115"/>
  <c r="Q123" i="115"/>
  <c r="O123" i="115"/>
  <c r="R147" i="116"/>
  <c r="P147" i="116"/>
  <c r="P153" i="116"/>
  <c r="Y116" i="117"/>
  <c r="AA116" i="117"/>
  <c r="Z116" i="117"/>
  <c r="O110" i="117"/>
  <c r="P110" i="117"/>
  <c r="N110" i="117"/>
  <c r="W40" i="117"/>
  <c r="Z40" i="117" s="1"/>
  <c r="Z116" i="116"/>
  <c r="Y55" i="115"/>
  <c r="AC55" i="115" s="1"/>
  <c r="V20" i="111"/>
  <c r="Z20" i="111" s="1"/>
  <c r="X25" i="102"/>
  <c r="X64" i="110"/>
  <c r="O80" i="110"/>
  <c r="N80" i="110"/>
  <c r="P80" i="110"/>
  <c r="Q140" i="116"/>
  <c r="R140" i="116"/>
  <c r="P140" i="116"/>
  <c r="W61" i="112"/>
  <c r="R36" i="116"/>
  <c r="Q36" i="116"/>
  <c r="P36" i="116"/>
  <c r="L5" i="116"/>
  <c r="L8" i="116"/>
  <c r="O108" i="110"/>
  <c r="N108" i="110"/>
  <c r="P108" i="110"/>
  <c r="AA109" i="110"/>
  <c r="Z109" i="110"/>
  <c r="AB109" i="110"/>
  <c r="P132" i="115"/>
  <c r="O132" i="115"/>
  <c r="Q132" i="115"/>
  <c r="AD167" i="116"/>
  <c r="AC167" i="116"/>
  <c r="AB167" i="116"/>
  <c r="M20" i="111"/>
  <c r="N20" i="111"/>
  <c r="O20" i="111"/>
  <c r="J44" i="117"/>
  <c r="N43" i="117"/>
  <c r="O43" i="117"/>
  <c r="J45" i="117"/>
  <c r="P43" i="117"/>
  <c r="U13" i="115"/>
  <c r="J13" i="115"/>
  <c r="U16" i="115"/>
  <c r="J16" i="115"/>
  <c r="W35" i="112"/>
  <c r="O26" i="102"/>
  <c r="N26" i="102"/>
  <c r="P26" i="102"/>
  <c r="U60" i="115"/>
  <c r="U59" i="115"/>
  <c r="K45" i="117"/>
  <c r="K44" i="117"/>
  <c r="O74" i="110"/>
  <c r="O47" i="111"/>
  <c r="M54" i="111"/>
  <c r="R134" i="116"/>
  <c r="P99" i="117"/>
  <c r="O26" i="111"/>
  <c r="M26" i="111"/>
  <c r="N26" i="111"/>
  <c r="J56" i="117"/>
  <c r="P55" i="117"/>
  <c r="J57" i="117"/>
  <c r="N55" i="117"/>
  <c r="O55" i="117"/>
  <c r="V59" i="116"/>
  <c r="AB58" i="116"/>
  <c r="V60" i="116"/>
  <c r="AC58" i="116"/>
  <c r="AD58" i="116"/>
  <c r="N36" i="117"/>
  <c r="O36" i="117"/>
  <c r="P36" i="117"/>
  <c r="Q52" i="115"/>
  <c r="P52" i="115"/>
  <c r="O52" i="115"/>
  <c r="R81" i="116"/>
  <c r="Q81" i="116"/>
  <c r="P81" i="116"/>
  <c r="Y15" i="117"/>
  <c r="Z15" i="117"/>
  <c r="AB31" i="102"/>
  <c r="Z31" i="102"/>
  <c r="AA31" i="102"/>
  <c r="U69" i="115"/>
  <c r="U68" i="115"/>
  <c r="Q33" i="115"/>
  <c r="O33" i="115"/>
  <c r="P33" i="115"/>
  <c r="O50" i="111"/>
  <c r="N50" i="111"/>
  <c r="M50" i="111"/>
  <c r="N96" i="117"/>
  <c r="P96" i="117"/>
  <c r="O96" i="117"/>
  <c r="Z29" i="111"/>
  <c r="X29" i="111"/>
  <c r="Y29" i="111"/>
  <c r="AD40" i="116"/>
  <c r="AB40" i="116"/>
  <c r="AC40" i="116"/>
  <c r="N38" i="102"/>
  <c r="O38" i="102"/>
  <c r="P38" i="102"/>
  <c r="AB46" i="102"/>
  <c r="M8" i="117"/>
  <c r="W8" i="117"/>
  <c r="M5" i="117"/>
  <c r="W5" i="117"/>
  <c r="Y5" i="115"/>
  <c r="AB5" i="115" s="1"/>
  <c r="N5" i="115"/>
  <c r="Y8" i="115"/>
  <c r="AA8" i="115" s="1"/>
  <c r="N8" i="115"/>
  <c r="O28" i="111"/>
  <c r="M28" i="111"/>
  <c r="N28" i="111"/>
  <c r="AA59" i="117"/>
  <c r="Y59" i="117"/>
  <c r="T60" i="117"/>
  <c r="Z59" i="117"/>
  <c r="Z59" i="115"/>
  <c r="Z60" i="115"/>
  <c r="L55" i="116"/>
  <c r="P55" i="116" s="1"/>
  <c r="L58" i="116"/>
  <c r="R58" i="116" s="1"/>
  <c r="J29" i="110"/>
  <c r="J30" i="110"/>
  <c r="P30" i="110" s="1"/>
  <c r="R48" i="116"/>
  <c r="P48" i="116"/>
  <c r="Q48" i="116"/>
  <c r="AB67" i="110"/>
  <c r="AA67" i="110"/>
  <c r="Z67" i="110"/>
  <c r="O83" i="110"/>
  <c r="N83" i="110"/>
  <c r="P83" i="110"/>
  <c r="R37" i="116"/>
  <c r="P37" i="116"/>
  <c r="Q37" i="116"/>
  <c r="P100" i="110"/>
  <c r="O100" i="110"/>
  <c r="N100" i="110"/>
  <c r="O122" i="117"/>
  <c r="P122" i="117"/>
  <c r="N122" i="117"/>
  <c r="O62" i="102"/>
  <c r="N62" i="102"/>
  <c r="O94" i="110"/>
  <c r="N94" i="110"/>
  <c r="AB147" i="116"/>
  <c r="AC153" i="116"/>
  <c r="AA110" i="117"/>
  <c r="Y110" i="117"/>
  <c r="O81" i="110"/>
  <c r="N81" i="110"/>
  <c r="P81" i="110"/>
  <c r="AA81" i="110"/>
  <c r="Z81" i="110"/>
  <c r="AB81" i="110"/>
  <c r="AC140" i="116"/>
  <c r="AB140" i="116"/>
  <c r="AD140" i="116"/>
  <c r="AA26" i="117"/>
  <c r="Z26" i="117"/>
  <c r="Y26" i="117"/>
  <c r="P34" i="117"/>
  <c r="N34" i="117"/>
  <c r="O34" i="117"/>
  <c r="N75" i="102"/>
  <c r="O75" i="102"/>
  <c r="P75" i="102"/>
  <c r="M84" i="111"/>
  <c r="N84" i="111"/>
  <c r="O84" i="111"/>
  <c r="Q166" i="116"/>
  <c r="R166" i="116"/>
  <c r="P166" i="116"/>
  <c r="O127" i="117"/>
  <c r="P127" i="117"/>
  <c r="N127" i="117"/>
  <c r="T41" i="117"/>
  <c r="T42" i="117"/>
  <c r="L8" i="115"/>
  <c r="L5" i="115"/>
  <c r="R79" i="116"/>
  <c r="P79" i="116"/>
  <c r="Q79" i="116"/>
  <c r="L57" i="115"/>
  <c r="L56" i="115"/>
  <c r="N25" i="102"/>
  <c r="O25" i="102"/>
  <c r="P25" i="102"/>
  <c r="M57" i="111"/>
  <c r="N57" i="111"/>
  <c r="O57" i="111"/>
  <c r="R132" i="116"/>
  <c r="Q132" i="116"/>
  <c r="P132" i="116"/>
  <c r="Y91" i="117"/>
  <c r="N91" i="117"/>
  <c r="P91" i="117"/>
  <c r="O91" i="117"/>
  <c r="Z26" i="111"/>
  <c r="X26" i="111"/>
  <c r="Y26" i="111"/>
  <c r="AA55" i="117"/>
  <c r="T57" i="117"/>
  <c r="Y55" i="117"/>
  <c r="Z55" i="117"/>
  <c r="T56" i="117"/>
  <c r="AA27" i="117"/>
  <c r="Y27" i="117"/>
  <c r="Z27" i="117"/>
  <c r="R47" i="116"/>
  <c r="Q47" i="116"/>
  <c r="P47" i="116"/>
  <c r="N33" i="117"/>
  <c r="O33" i="117"/>
  <c r="P33" i="117"/>
  <c r="AA34" i="117"/>
  <c r="Y34" i="117"/>
  <c r="Z34" i="117"/>
  <c r="P12" i="117"/>
  <c r="P32" i="102"/>
  <c r="N32" i="102"/>
  <c r="J72" i="115"/>
  <c r="J71" i="115"/>
  <c r="O70" i="115"/>
  <c r="Q70" i="115"/>
  <c r="P70" i="115"/>
  <c r="O51" i="111"/>
  <c r="N51" i="111"/>
  <c r="M51" i="111"/>
  <c r="AA61" i="112"/>
  <c r="Z72" i="111" l="1"/>
  <c r="N12" i="117"/>
  <c r="N74" i="110"/>
  <c r="V19" i="111"/>
  <c r="Y19" i="111" s="1"/>
  <c r="Y58" i="115"/>
  <c r="AA58" i="115" s="1"/>
  <c r="W43" i="117"/>
  <c r="AA43" i="117" s="1"/>
  <c r="R153" i="116"/>
  <c r="N72" i="111"/>
  <c r="Q86" i="115"/>
  <c r="N53" i="111"/>
  <c r="L40" i="102"/>
  <c r="P40" i="102" s="1"/>
  <c r="M84" i="115"/>
  <c r="P84" i="115" s="1"/>
  <c r="O133" i="115"/>
  <c r="AB94" i="110"/>
  <c r="AD131" i="116"/>
  <c r="Y56" i="111"/>
  <c r="N115" i="117"/>
  <c r="AB88" i="110"/>
  <c r="AC77" i="115"/>
  <c r="AB123" i="115"/>
  <c r="X72" i="111"/>
  <c r="V56" i="116"/>
  <c r="Y40" i="117"/>
  <c r="P116" i="117"/>
  <c r="O56" i="111"/>
  <c r="X26" i="102"/>
  <c r="AB26" i="102" s="1"/>
  <c r="X65" i="110"/>
  <c r="W40" i="102"/>
  <c r="Z40" i="102" s="1"/>
  <c r="AC4" i="115"/>
  <c r="AC121" i="115"/>
  <c r="O93" i="110"/>
  <c r="O109" i="117"/>
  <c r="O121" i="115"/>
  <c r="Q135" i="116"/>
  <c r="AD153" i="116"/>
  <c r="Y72" i="111"/>
  <c r="AA111" i="110"/>
  <c r="O54" i="111"/>
  <c r="N47" i="111"/>
  <c r="N92" i="117"/>
  <c r="N72" i="110"/>
  <c r="P74" i="102"/>
  <c r="Z115" i="117"/>
  <c r="AA109" i="117"/>
  <c r="AA62" i="102"/>
  <c r="P154" i="116"/>
  <c r="Q121" i="115"/>
  <c r="AA121" i="115"/>
  <c r="AA120" i="115"/>
  <c r="R135" i="116"/>
  <c r="N116" i="117"/>
  <c r="Y109" i="117"/>
  <c r="N75" i="110"/>
  <c r="AA72" i="110"/>
  <c r="Z108" i="110"/>
  <c r="O87" i="110"/>
  <c r="AA93" i="110"/>
  <c r="O75" i="110"/>
  <c r="AB111" i="110"/>
  <c r="O52" i="110"/>
  <c r="P93" i="110"/>
  <c r="P87" i="110"/>
  <c r="AB93" i="110"/>
  <c r="AB72" i="110"/>
  <c r="P52" i="110"/>
  <c r="O74" i="102"/>
  <c r="AB62" i="102"/>
  <c r="N49" i="102"/>
  <c r="O49" i="102"/>
  <c r="AB56" i="102"/>
  <c r="Z53" i="111"/>
  <c r="Y67" i="111"/>
  <c r="O40" i="102"/>
  <c r="O66" i="102"/>
  <c r="Z63" i="102"/>
  <c r="N40" i="102"/>
  <c r="Z25" i="102"/>
  <c r="Z66" i="102"/>
  <c r="AC55" i="116"/>
  <c r="AD55" i="116"/>
  <c r="Y47" i="111"/>
  <c r="AC147" i="116"/>
  <c r="Z66" i="111"/>
  <c r="Y99" i="117"/>
  <c r="N56" i="111"/>
  <c r="Z56" i="102"/>
  <c r="Z57" i="111"/>
  <c r="AA108" i="110"/>
  <c r="AD148" i="116"/>
  <c r="X67" i="111"/>
  <c r="AA66" i="102"/>
  <c r="Q148" i="116"/>
  <c r="M67" i="111"/>
  <c r="AA63" i="102"/>
  <c r="X47" i="111"/>
  <c r="AA99" i="117"/>
  <c r="W38" i="110"/>
  <c r="AB38" i="110" s="1"/>
  <c r="Y57" i="111"/>
  <c r="AA55" i="102"/>
  <c r="AB148" i="116"/>
  <c r="AA112" i="110"/>
  <c r="V57" i="116"/>
  <c r="AC57" i="116" s="1"/>
  <c r="AB49" i="102"/>
  <c r="Y66" i="111"/>
  <c r="P66" i="102"/>
  <c r="Z49" i="102"/>
  <c r="M74" i="116"/>
  <c r="P131" i="116"/>
  <c r="AB75" i="110"/>
  <c r="Z91" i="117"/>
  <c r="Z92" i="117"/>
  <c r="O99" i="117"/>
  <c r="P134" i="116"/>
  <c r="J59" i="116"/>
  <c r="R131" i="116"/>
  <c r="N94" i="116"/>
  <c r="R90" i="116"/>
  <c r="N92" i="116"/>
  <c r="P92" i="116" s="1"/>
  <c r="R93" i="116"/>
  <c r="N95" i="116"/>
  <c r="Q112" i="115"/>
  <c r="P112" i="115"/>
  <c r="Q113" i="115"/>
  <c r="O113" i="115"/>
  <c r="AA4" i="115"/>
  <c r="N91" i="116"/>
  <c r="R91" i="116" s="1"/>
  <c r="P90" i="116"/>
  <c r="AD126" i="116"/>
  <c r="AB126" i="116"/>
  <c r="AB5" i="116"/>
  <c r="AD8" i="116"/>
  <c r="AA105" i="115"/>
  <c r="AB105" i="115"/>
  <c r="AA113" i="115"/>
  <c r="AB113" i="115"/>
  <c r="AB7" i="115"/>
  <c r="AC112" i="115"/>
  <c r="AA112" i="115"/>
  <c r="N71" i="110"/>
  <c r="Z29" i="110"/>
  <c r="P36" i="110"/>
  <c r="Z68" i="110"/>
  <c r="AA75" i="110"/>
  <c r="O29" i="110"/>
  <c r="Z74" i="110"/>
  <c r="P71" i="110"/>
  <c r="N36" i="110"/>
  <c r="AA74" i="110"/>
  <c r="N56" i="102"/>
  <c r="O56" i="102"/>
  <c r="Z55" i="102"/>
  <c r="AA46" i="102"/>
  <c r="O55" i="102"/>
  <c r="N55" i="102"/>
  <c r="AA25" i="102"/>
  <c r="Q105" i="115"/>
  <c r="P29" i="110"/>
  <c r="N29" i="110"/>
  <c r="AB25" i="102"/>
  <c r="O37" i="102"/>
  <c r="AB8" i="116"/>
  <c r="K39" i="110"/>
  <c r="O39" i="110" s="1"/>
  <c r="M72" i="116"/>
  <c r="AC100" i="115"/>
  <c r="L74" i="117"/>
  <c r="R26" i="116"/>
  <c r="AA40" i="117"/>
  <c r="W39" i="110"/>
  <c r="AB39" i="110" s="1"/>
  <c r="Y72" i="116"/>
  <c r="AB72" i="116" s="1"/>
  <c r="AB123" i="116"/>
  <c r="O79" i="115"/>
  <c r="AB4" i="115"/>
  <c r="N37" i="102"/>
  <c r="K38" i="110"/>
  <c r="O38" i="110" s="1"/>
  <c r="L76" i="117"/>
  <c r="P86" i="115"/>
  <c r="AA7" i="115"/>
  <c r="AB13" i="115"/>
  <c r="AC13" i="115"/>
  <c r="AA13" i="115"/>
  <c r="AB84" i="115"/>
  <c r="AA84" i="115"/>
  <c r="AC84" i="115"/>
  <c r="AC71" i="115"/>
  <c r="AB71" i="115"/>
  <c r="AA71" i="115"/>
  <c r="AB20" i="115"/>
  <c r="AA20" i="115"/>
  <c r="AC20" i="115"/>
  <c r="AB64" i="115"/>
  <c r="AA64" i="115"/>
  <c r="AC64" i="115"/>
  <c r="AB58" i="115"/>
  <c r="AB36" i="115"/>
  <c r="AC36" i="115"/>
  <c r="AA36" i="115"/>
  <c r="AC96" i="115"/>
  <c r="AB96" i="115"/>
  <c r="AA96" i="115"/>
  <c r="AB8" i="115"/>
  <c r="AA55" i="115"/>
  <c r="AA101" i="115"/>
  <c r="AC101" i="115"/>
  <c r="AB101" i="115"/>
  <c r="AA48" i="115"/>
  <c r="AC48" i="115"/>
  <c r="AB48" i="115"/>
  <c r="AA72" i="115"/>
  <c r="AC72" i="115"/>
  <c r="AB72" i="115"/>
  <c r="AA12" i="115"/>
  <c r="AB12" i="115"/>
  <c r="AC12" i="115"/>
  <c r="AC62" i="115"/>
  <c r="AB62" i="115"/>
  <c r="AA62" i="115"/>
  <c r="AC58" i="115"/>
  <c r="AC99" i="115"/>
  <c r="AB99" i="115"/>
  <c r="AA99" i="115"/>
  <c r="AA5" i="115"/>
  <c r="AC8" i="115"/>
  <c r="AB55" i="115"/>
  <c r="AA68" i="115"/>
  <c r="AC68" i="115"/>
  <c r="AB68" i="115"/>
  <c r="AA16" i="115"/>
  <c r="AB16" i="115"/>
  <c r="AC16" i="115"/>
  <c r="AC51" i="115"/>
  <c r="AB51" i="115"/>
  <c r="AA51" i="115"/>
  <c r="AC86" i="115"/>
  <c r="AB86" i="115"/>
  <c r="AA86" i="115"/>
  <c r="AB98" i="115"/>
  <c r="AA98" i="115"/>
  <c r="AC98" i="115"/>
  <c r="AD26" i="116"/>
  <c r="AC26" i="116"/>
  <c r="AB26" i="116"/>
  <c r="AD27" i="116"/>
  <c r="AC27" i="116"/>
  <c r="AB27" i="116"/>
  <c r="AC15" i="115"/>
  <c r="AB15" i="115"/>
  <c r="AA15" i="115"/>
  <c r="AC23" i="115"/>
  <c r="AB23" i="115"/>
  <c r="AA23" i="115"/>
  <c r="AC5" i="115"/>
  <c r="AB69" i="115"/>
  <c r="AA69" i="115"/>
  <c r="AC69" i="115"/>
  <c r="AA97" i="115"/>
  <c r="AC97" i="115"/>
  <c r="AB97" i="115"/>
  <c r="AC29" i="116"/>
  <c r="AB29" i="116"/>
  <c r="AD29" i="116"/>
  <c r="AD30" i="116"/>
  <c r="AC30" i="116"/>
  <c r="AB30" i="116"/>
  <c r="AC33" i="115"/>
  <c r="AA33" i="115"/>
  <c r="AB33" i="115"/>
  <c r="N29" i="102"/>
  <c r="O29" i="102"/>
  <c r="P29" i="102"/>
  <c r="U65" i="115"/>
  <c r="N118" i="117"/>
  <c r="P118" i="117"/>
  <c r="O118" i="117"/>
  <c r="N76" i="111"/>
  <c r="O76" i="111"/>
  <c r="M76" i="111"/>
  <c r="N112" i="117"/>
  <c r="O112" i="117"/>
  <c r="P112" i="117"/>
  <c r="AB90" i="110"/>
  <c r="AA90" i="110"/>
  <c r="Z90" i="110"/>
  <c r="Y76" i="111"/>
  <c r="Z76" i="111"/>
  <c r="X76" i="111"/>
  <c r="Y112" i="117"/>
  <c r="Z112" i="117"/>
  <c r="AA112" i="117"/>
  <c r="Y113" i="117"/>
  <c r="Z113" i="117"/>
  <c r="AA113" i="117"/>
  <c r="R150" i="116"/>
  <c r="Q150" i="116"/>
  <c r="P150" i="116"/>
  <c r="O113" i="117"/>
  <c r="P113" i="117"/>
  <c r="N113" i="117"/>
  <c r="O64" i="115"/>
  <c r="J65" i="115"/>
  <c r="P64" i="115"/>
  <c r="Q64" i="115"/>
  <c r="U63" i="115"/>
  <c r="O90" i="110"/>
  <c r="N90" i="110"/>
  <c r="P90" i="110"/>
  <c r="Q151" i="116"/>
  <c r="R151" i="116"/>
  <c r="P151" i="116"/>
  <c r="X69" i="111"/>
  <c r="Y69" i="111"/>
  <c r="Z69" i="111"/>
  <c r="O96" i="110"/>
  <c r="N96" i="110"/>
  <c r="P96" i="110"/>
  <c r="AC151" i="116"/>
  <c r="AB151" i="116"/>
  <c r="AD151" i="116"/>
  <c r="O97" i="110"/>
  <c r="N97" i="110"/>
  <c r="P97" i="110"/>
  <c r="O91" i="110"/>
  <c r="N91" i="110"/>
  <c r="P91" i="110"/>
  <c r="Q156" i="116"/>
  <c r="R156" i="116"/>
  <c r="P156" i="116"/>
  <c r="Z96" i="110"/>
  <c r="AB96" i="110"/>
  <c r="AA96" i="110"/>
  <c r="Z28" i="102"/>
  <c r="AA28" i="102"/>
  <c r="AB28" i="102"/>
  <c r="P28" i="102"/>
  <c r="N28" i="102"/>
  <c r="O28" i="102"/>
  <c r="AA91" i="110"/>
  <c r="Z91" i="110"/>
  <c r="AB91" i="110"/>
  <c r="Q157" i="116"/>
  <c r="R157" i="116"/>
  <c r="P157" i="116"/>
  <c r="AD150" i="116"/>
  <c r="AC150" i="116"/>
  <c r="AB150" i="116"/>
  <c r="AA97" i="110"/>
  <c r="Z97" i="110"/>
  <c r="AB97" i="110"/>
  <c r="AC157" i="116"/>
  <c r="AB157" i="116"/>
  <c r="AD157" i="116"/>
  <c r="X75" i="111"/>
  <c r="Y75" i="111"/>
  <c r="Z75" i="111"/>
  <c r="N69" i="111"/>
  <c r="O69" i="111"/>
  <c r="M69" i="111"/>
  <c r="AC170" i="116"/>
  <c r="AD170" i="116"/>
  <c r="AB170" i="116"/>
  <c r="AB29" i="102"/>
  <c r="Z29" i="102"/>
  <c r="AA29" i="102"/>
  <c r="O62" i="115"/>
  <c r="J63" i="115"/>
  <c r="P62" i="115"/>
  <c r="Q62" i="115"/>
  <c r="N70" i="111"/>
  <c r="O70" i="111"/>
  <c r="M70" i="111"/>
  <c r="AB169" i="116"/>
  <c r="AC169" i="116"/>
  <c r="AD169" i="116"/>
  <c r="P119" i="117"/>
  <c r="O119" i="117"/>
  <c r="N119" i="117"/>
  <c r="Y70" i="111"/>
  <c r="Z70" i="111"/>
  <c r="X70" i="111"/>
  <c r="AA119" i="117"/>
  <c r="Z119" i="117"/>
  <c r="Y119" i="117"/>
  <c r="AC156" i="116"/>
  <c r="AB156" i="116"/>
  <c r="AD156" i="116"/>
  <c r="N75" i="111"/>
  <c r="O75" i="111"/>
  <c r="M75" i="111"/>
  <c r="Z118" i="117"/>
  <c r="Y118" i="117"/>
  <c r="AA118" i="117"/>
  <c r="N6" i="110"/>
  <c r="O6" i="110"/>
  <c r="P6" i="110"/>
  <c r="M42" i="111"/>
  <c r="M43" i="111"/>
  <c r="Q110" i="115"/>
  <c r="O110" i="115"/>
  <c r="P110" i="115"/>
  <c r="O71" i="115"/>
  <c r="Q71" i="115"/>
  <c r="P71" i="115"/>
  <c r="P28" i="115"/>
  <c r="O28" i="115"/>
  <c r="Q28" i="115"/>
  <c r="O21" i="117"/>
  <c r="N21" i="117"/>
  <c r="P21" i="117"/>
  <c r="AD56" i="116"/>
  <c r="AC56" i="116"/>
  <c r="AB56" i="116"/>
  <c r="O52" i="102"/>
  <c r="N52" i="102"/>
  <c r="P52" i="102"/>
  <c r="R137" i="116"/>
  <c r="P137" i="116"/>
  <c r="Q137" i="116"/>
  <c r="O72" i="115"/>
  <c r="Q72" i="115"/>
  <c r="P72" i="115"/>
  <c r="N10" i="111"/>
  <c r="M10" i="111"/>
  <c r="O10" i="111"/>
  <c r="Q25" i="115"/>
  <c r="P25" i="115"/>
  <c r="O25" i="115"/>
  <c r="N18" i="117"/>
  <c r="O18" i="117"/>
  <c r="P18" i="117"/>
  <c r="P53" i="102"/>
  <c r="O53" i="102"/>
  <c r="N53" i="102"/>
  <c r="M59" i="111"/>
  <c r="N59" i="111"/>
  <c r="O59" i="111"/>
  <c r="P138" i="116"/>
  <c r="R138" i="116"/>
  <c r="Q138" i="116"/>
  <c r="AD60" i="116"/>
  <c r="AC60" i="116"/>
  <c r="AB60" i="116"/>
  <c r="N30" i="110"/>
  <c r="AA39" i="110"/>
  <c r="AD72" i="116"/>
  <c r="AC72" i="116"/>
  <c r="Z4" i="117"/>
  <c r="AB65" i="110"/>
  <c r="AA65" i="110"/>
  <c r="Z65" i="110"/>
  <c r="Z121" i="116"/>
  <c r="AC119" i="116"/>
  <c r="AB119" i="116"/>
  <c r="Z120" i="116"/>
  <c r="AD119" i="116"/>
  <c r="O69" i="115"/>
  <c r="P69" i="115"/>
  <c r="Q69" i="115"/>
  <c r="AC5" i="116"/>
  <c r="Q55" i="116"/>
  <c r="AA53" i="117"/>
  <c r="Y53" i="117"/>
  <c r="Z53" i="117"/>
  <c r="Q60" i="115"/>
  <c r="P60" i="115"/>
  <c r="O60" i="115"/>
  <c r="AA40" i="102"/>
  <c r="X85" i="115"/>
  <c r="AA85" i="115" s="1"/>
  <c r="Y5" i="117"/>
  <c r="Z5" i="117"/>
  <c r="AA5" i="117"/>
  <c r="P54" i="117"/>
  <c r="N54" i="117"/>
  <c r="O54" i="117"/>
  <c r="O22" i="111"/>
  <c r="M22" i="111"/>
  <c r="N22" i="111"/>
  <c r="J48" i="117"/>
  <c r="P47" i="117"/>
  <c r="N47" i="117"/>
  <c r="O47" i="117"/>
  <c r="Y43" i="117"/>
  <c r="Y20" i="111"/>
  <c r="AB7" i="116"/>
  <c r="AD7" i="116"/>
  <c r="AC7" i="116"/>
  <c r="P15" i="115"/>
  <c r="O15" i="115"/>
  <c r="Q15" i="115"/>
  <c r="O32" i="110"/>
  <c r="N32" i="110"/>
  <c r="P32" i="110"/>
  <c r="AD62" i="116"/>
  <c r="AC62" i="116"/>
  <c r="V63" i="116"/>
  <c r="AB62" i="116"/>
  <c r="O65" i="117"/>
  <c r="N65" i="117"/>
  <c r="P65" i="117"/>
  <c r="N41" i="102"/>
  <c r="Z11" i="117"/>
  <c r="AA11" i="117"/>
  <c r="Y11" i="117"/>
  <c r="P60" i="117"/>
  <c r="N60" i="117"/>
  <c r="O60" i="117"/>
  <c r="M36" i="111"/>
  <c r="AB101" i="116"/>
  <c r="AC101" i="116"/>
  <c r="AD101" i="116"/>
  <c r="AD127" i="116"/>
  <c r="AB127" i="116"/>
  <c r="AC127" i="116"/>
  <c r="Q94" i="116"/>
  <c r="P94" i="116"/>
  <c r="R94" i="116"/>
  <c r="Y33" i="117"/>
  <c r="Z33" i="117"/>
  <c r="AA33" i="117"/>
  <c r="P23" i="115"/>
  <c r="O23" i="115"/>
  <c r="Q23" i="115"/>
  <c r="AB57" i="116"/>
  <c r="AA57" i="117"/>
  <c r="Y57" i="117"/>
  <c r="Z57" i="117"/>
  <c r="N77" i="110"/>
  <c r="O77" i="110"/>
  <c r="P77" i="110"/>
  <c r="L59" i="116"/>
  <c r="P59" i="116" s="1"/>
  <c r="L60" i="116"/>
  <c r="R60" i="116" s="1"/>
  <c r="O30" i="110"/>
  <c r="P57" i="117"/>
  <c r="O57" i="117"/>
  <c r="N57" i="117"/>
  <c r="AC74" i="116"/>
  <c r="Y75" i="116"/>
  <c r="AB74" i="116"/>
  <c r="AD74" i="116"/>
  <c r="P16" i="115"/>
  <c r="O16" i="115"/>
  <c r="Q16" i="115"/>
  <c r="P44" i="117"/>
  <c r="O44" i="117"/>
  <c r="N44" i="117"/>
  <c r="AA64" i="110"/>
  <c r="Z64" i="110"/>
  <c r="AB64" i="110"/>
  <c r="Z117" i="116"/>
  <c r="AD116" i="116"/>
  <c r="Z118" i="116"/>
  <c r="AC116" i="116"/>
  <c r="AB116" i="116"/>
  <c r="AD99" i="116"/>
  <c r="AC99" i="116"/>
  <c r="AB99" i="116"/>
  <c r="AA54" i="117"/>
  <c r="Y54" i="117"/>
  <c r="Z54" i="117"/>
  <c r="Q57" i="115"/>
  <c r="O57" i="115"/>
  <c r="P57" i="115"/>
  <c r="M87" i="115"/>
  <c r="Q87" i="115" s="1"/>
  <c r="Z73" i="117"/>
  <c r="V74" i="117"/>
  <c r="Y73" i="117"/>
  <c r="AA73" i="117"/>
  <c r="Q58" i="116"/>
  <c r="AA26" i="102"/>
  <c r="Z22" i="111"/>
  <c r="X22" i="111"/>
  <c r="Y22" i="111"/>
  <c r="T48" i="117"/>
  <c r="AA47" i="117"/>
  <c r="Y47" i="117"/>
  <c r="Z47" i="117"/>
  <c r="P37" i="115"/>
  <c r="O37" i="115"/>
  <c r="Q37" i="115"/>
  <c r="X20" i="111"/>
  <c r="AD4" i="116"/>
  <c r="AB4" i="116"/>
  <c r="AC4" i="116"/>
  <c r="Q12" i="115"/>
  <c r="O12" i="115"/>
  <c r="P12" i="115"/>
  <c r="O33" i="110"/>
  <c r="N33" i="110"/>
  <c r="P33" i="110"/>
  <c r="R64" i="116"/>
  <c r="Q64" i="116"/>
  <c r="J65" i="116"/>
  <c r="P64" i="116"/>
  <c r="P41" i="102"/>
  <c r="N14" i="117"/>
  <c r="O14" i="117"/>
  <c r="P14" i="117"/>
  <c r="M37" i="111"/>
  <c r="AC102" i="116"/>
  <c r="AB102" i="116"/>
  <c r="AD102" i="116"/>
  <c r="Q70" i="116"/>
  <c r="P70" i="116"/>
  <c r="R70" i="116"/>
  <c r="Y36" i="117"/>
  <c r="Z36" i="117"/>
  <c r="AA36" i="117"/>
  <c r="P62" i="117"/>
  <c r="N62" i="117"/>
  <c r="O62" i="117"/>
  <c r="Q10" i="116"/>
  <c r="P10" i="116"/>
  <c r="R10" i="116"/>
  <c r="O102" i="117"/>
  <c r="P102" i="117"/>
  <c r="N102" i="117"/>
  <c r="O12" i="102"/>
  <c r="N12" i="102"/>
  <c r="P12" i="102"/>
  <c r="M9" i="111"/>
  <c r="N9" i="111"/>
  <c r="O9" i="111"/>
  <c r="P13" i="116"/>
  <c r="Q13" i="116"/>
  <c r="R13" i="116"/>
  <c r="AA56" i="117"/>
  <c r="Z56" i="117"/>
  <c r="Y56" i="117"/>
  <c r="M60" i="111"/>
  <c r="N60" i="111"/>
  <c r="O60" i="111"/>
  <c r="P109" i="115"/>
  <c r="Q109" i="115"/>
  <c r="O109" i="115"/>
  <c r="O103" i="117"/>
  <c r="P103" i="117"/>
  <c r="N103" i="117"/>
  <c r="L56" i="116"/>
  <c r="R56" i="116" s="1"/>
  <c r="L57" i="116"/>
  <c r="P57" i="116" s="1"/>
  <c r="AA60" i="117"/>
  <c r="Y60" i="117"/>
  <c r="Z60" i="117"/>
  <c r="AD59" i="116"/>
  <c r="AB59" i="116"/>
  <c r="AC59" i="116"/>
  <c r="AA38" i="110"/>
  <c r="Q74" i="116"/>
  <c r="M75" i="116"/>
  <c r="P74" i="116"/>
  <c r="R74" i="116"/>
  <c r="R27" i="116"/>
  <c r="Q27" i="116"/>
  <c r="P27" i="116"/>
  <c r="N45" i="117"/>
  <c r="O45" i="117"/>
  <c r="P45" i="117"/>
  <c r="Y57" i="115"/>
  <c r="AB57" i="115" s="1"/>
  <c r="Y56" i="115"/>
  <c r="AA56" i="115" s="1"/>
  <c r="W41" i="117"/>
  <c r="AA41" i="117" s="1"/>
  <c r="W42" i="117"/>
  <c r="Z42" i="117" s="1"/>
  <c r="AA62" i="117"/>
  <c r="Y62" i="117"/>
  <c r="Z62" i="117"/>
  <c r="P59" i="115"/>
  <c r="O59" i="115"/>
  <c r="Q59" i="115"/>
  <c r="AB41" i="102"/>
  <c r="Z41" i="102"/>
  <c r="AA41" i="102"/>
  <c r="X87" i="115"/>
  <c r="AC87" i="115" s="1"/>
  <c r="Z8" i="117"/>
  <c r="Y8" i="117"/>
  <c r="AA8" i="117"/>
  <c r="AD15" i="116"/>
  <c r="AB15" i="116"/>
  <c r="AC15" i="116"/>
  <c r="AB14" i="116"/>
  <c r="AC14" i="116"/>
  <c r="AD14" i="116"/>
  <c r="AA7" i="117"/>
  <c r="Y7" i="117"/>
  <c r="Z7" i="117"/>
  <c r="R68" i="116"/>
  <c r="P68" i="116"/>
  <c r="Q68" i="116"/>
  <c r="Z26" i="102"/>
  <c r="O23" i="111"/>
  <c r="M23" i="111"/>
  <c r="N23" i="111"/>
  <c r="J50" i="117"/>
  <c r="P49" i="117"/>
  <c r="N49" i="117"/>
  <c r="O49" i="117"/>
  <c r="Q34" i="115"/>
  <c r="O34" i="115"/>
  <c r="P34" i="115"/>
  <c r="AA33" i="110"/>
  <c r="Z33" i="110"/>
  <c r="AB33" i="110"/>
  <c r="AD64" i="116"/>
  <c r="AC64" i="116"/>
  <c r="V65" i="116"/>
  <c r="AB64" i="116"/>
  <c r="AB124" i="116"/>
  <c r="AC124" i="116"/>
  <c r="AD124" i="116"/>
  <c r="Y14" i="117"/>
  <c r="Z14" i="117"/>
  <c r="AA14" i="117"/>
  <c r="O73" i="117"/>
  <c r="N73" i="117"/>
  <c r="P73" i="117"/>
  <c r="AB128" i="116"/>
  <c r="AC128" i="116"/>
  <c r="AD128" i="116"/>
  <c r="R95" i="116"/>
  <c r="Q95" i="116"/>
  <c r="P95" i="116"/>
  <c r="AB41" i="116"/>
  <c r="AC41" i="116"/>
  <c r="AD41" i="116"/>
  <c r="O7" i="110"/>
  <c r="N7" i="110"/>
  <c r="P7" i="110"/>
  <c r="P13" i="102"/>
  <c r="O13" i="102"/>
  <c r="N13" i="102"/>
  <c r="N78" i="110"/>
  <c r="O78" i="110"/>
  <c r="P78" i="110"/>
  <c r="P56" i="117"/>
  <c r="N56" i="117"/>
  <c r="O56" i="117"/>
  <c r="R72" i="116"/>
  <c r="Q72" i="116"/>
  <c r="P72" i="116"/>
  <c r="M73" i="116"/>
  <c r="P30" i="116"/>
  <c r="Q30" i="116"/>
  <c r="R30" i="116"/>
  <c r="Q13" i="115"/>
  <c r="O13" i="115"/>
  <c r="P13" i="115"/>
  <c r="Y59" i="115"/>
  <c r="AB59" i="115" s="1"/>
  <c r="Y60" i="115"/>
  <c r="AC60" i="115" s="1"/>
  <c r="W45" i="117"/>
  <c r="Z45" i="117" s="1"/>
  <c r="W44" i="117"/>
  <c r="Z44" i="117" s="1"/>
  <c r="AC98" i="116"/>
  <c r="AB98" i="116"/>
  <c r="AD98" i="116"/>
  <c r="O68" i="115"/>
  <c r="P68" i="115"/>
  <c r="Q68" i="115"/>
  <c r="R55" i="116"/>
  <c r="Q56" i="115"/>
  <c r="P56" i="115"/>
  <c r="O56" i="115"/>
  <c r="N41" i="117"/>
  <c r="O41" i="117"/>
  <c r="P41" i="117"/>
  <c r="P42" i="117"/>
  <c r="O42" i="117"/>
  <c r="N42" i="117"/>
  <c r="AB12" i="116"/>
  <c r="AC12" i="116"/>
  <c r="AD12" i="116"/>
  <c r="Z75" i="117"/>
  <c r="AA75" i="117"/>
  <c r="Y75" i="117"/>
  <c r="V76" i="117"/>
  <c r="AC11" i="116"/>
  <c r="AB11" i="116"/>
  <c r="AD11" i="116"/>
  <c r="P87" i="115"/>
  <c r="Q84" i="115"/>
  <c r="P58" i="116"/>
  <c r="P53" i="117"/>
  <c r="N53" i="117"/>
  <c r="O53" i="117"/>
  <c r="Z23" i="111"/>
  <c r="X23" i="111"/>
  <c r="Y23" i="111"/>
  <c r="T50" i="117"/>
  <c r="AA49" i="117"/>
  <c r="Y49" i="117"/>
  <c r="Z49" i="117"/>
  <c r="Z43" i="117"/>
  <c r="AA32" i="110"/>
  <c r="Z32" i="110"/>
  <c r="AB32" i="110"/>
  <c r="R62" i="116"/>
  <c r="Q62" i="116"/>
  <c r="J63" i="116"/>
  <c r="P62" i="116"/>
  <c r="W81" i="117"/>
  <c r="M81" i="117"/>
  <c r="W78" i="117"/>
  <c r="M78" i="117"/>
  <c r="Z112" i="116"/>
  <c r="O109" i="116"/>
  <c r="Y92" i="115"/>
  <c r="N92" i="115"/>
  <c r="Y89" i="115"/>
  <c r="N89" i="115"/>
  <c r="Z109" i="116"/>
  <c r="O112" i="116"/>
  <c r="V39" i="111"/>
  <c r="V40" i="111"/>
  <c r="X62" i="110"/>
  <c r="M62" i="110"/>
  <c r="X61" i="110"/>
  <c r="M61" i="110"/>
  <c r="L40" i="111"/>
  <c r="M40" i="111" s="1"/>
  <c r="X44" i="102"/>
  <c r="M44" i="102"/>
  <c r="X43" i="102"/>
  <c r="M43" i="102"/>
  <c r="L39" i="111"/>
  <c r="M39" i="111" s="1"/>
  <c r="AC125" i="116"/>
  <c r="AB125" i="116"/>
  <c r="AD125" i="116"/>
  <c r="O80" i="115"/>
  <c r="P80" i="115"/>
  <c r="Q80" i="115"/>
  <c r="O11" i="117"/>
  <c r="N11" i="117"/>
  <c r="P11" i="117"/>
  <c r="O75" i="117"/>
  <c r="P75" i="117"/>
  <c r="N75" i="117"/>
  <c r="O67" i="117"/>
  <c r="P67" i="117"/>
  <c r="N67" i="117"/>
  <c r="Q82" i="115"/>
  <c r="O82" i="115"/>
  <c r="P82" i="115"/>
  <c r="AB44" i="116"/>
  <c r="AC44" i="116"/>
  <c r="AD44" i="116"/>
  <c r="Q20" i="115"/>
  <c r="O20" i="115"/>
  <c r="P20" i="115"/>
  <c r="R59" i="116" l="1"/>
  <c r="R92" i="116"/>
  <c r="AD57" i="116"/>
  <c r="AB40" i="102"/>
  <c r="P91" i="116"/>
  <c r="X19" i="111"/>
  <c r="Z19" i="111"/>
  <c r="Q92" i="116"/>
  <c r="M85" i="115"/>
  <c r="O85" i="115" s="1"/>
  <c r="N39" i="110"/>
  <c r="O84" i="115"/>
  <c r="Q91" i="116"/>
  <c r="P39" i="110"/>
  <c r="P38" i="110"/>
  <c r="Z38" i="110"/>
  <c r="Z39" i="110"/>
  <c r="AA45" i="117"/>
  <c r="Y73" i="116"/>
  <c r="AC73" i="116" s="1"/>
  <c r="Q59" i="116"/>
  <c r="O87" i="115"/>
  <c r="AA100" i="115"/>
  <c r="AB100" i="115"/>
  <c r="N38" i="110"/>
  <c r="Y4" i="117"/>
  <c r="AA4" i="117"/>
  <c r="R57" i="116"/>
  <c r="Y45" i="117"/>
  <c r="Q57" i="116"/>
  <c r="AC65" i="115"/>
  <c r="AB65" i="115"/>
  <c r="AA65" i="115"/>
  <c r="AB56" i="115"/>
  <c r="AA87" i="115"/>
  <c r="AB85" i="115"/>
  <c r="AA60" i="115"/>
  <c r="AC57" i="115"/>
  <c r="AC56" i="115"/>
  <c r="AC85" i="115"/>
  <c r="AB60" i="115"/>
  <c r="AC59" i="115"/>
  <c r="AB89" i="115"/>
  <c r="AA89" i="115"/>
  <c r="AC89" i="115"/>
  <c r="AC19" i="115"/>
  <c r="AB19" i="115"/>
  <c r="AA19" i="115"/>
  <c r="AB87" i="115"/>
  <c r="AA57" i="115"/>
  <c r="AA59" i="115"/>
  <c r="AA92" i="115"/>
  <c r="AC92" i="115"/>
  <c r="AB92" i="115"/>
  <c r="AB22" i="115"/>
  <c r="AA22" i="115"/>
  <c r="AC22" i="115"/>
  <c r="AA63" i="115"/>
  <c r="AC63" i="115"/>
  <c r="AB63" i="115"/>
  <c r="P60" i="116"/>
  <c r="O63" i="115"/>
  <c r="P63" i="115"/>
  <c r="Q63" i="115"/>
  <c r="Q60" i="116"/>
  <c r="O65" i="115"/>
  <c r="P65" i="115"/>
  <c r="Q65" i="115"/>
  <c r="AB43" i="102"/>
  <c r="Z43" i="102"/>
  <c r="AA43" i="102"/>
  <c r="P3" i="102"/>
  <c r="O3" i="102"/>
  <c r="N3" i="102"/>
  <c r="P4" i="110"/>
  <c r="N4" i="110"/>
  <c r="O4" i="110"/>
  <c r="R6" i="116"/>
  <c r="P6" i="116"/>
  <c r="Q6" i="116"/>
  <c r="AB44" i="102"/>
  <c r="Z44" i="102"/>
  <c r="AA44" i="102"/>
  <c r="N62" i="110"/>
  <c r="O62" i="110"/>
  <c r="P62" i="110"/>
  <c r="Q112" i="116"/>
  <c r="O113" i="116"/>
  <c r="P112" i="116"/>
  <c r="O114" i="116"/>
  <c r="R112" i="116"/>
  <c r="O78" i="117"/>
  <c r="M80" i="117"/>
  <c r="M79" i="117"/>
  <c r="P78" i="117"/>
  <c r="N78" i="117"/>
  <c r="AA50" i="117"/>
  <c r="Y50" i="117"/>
  <c r="Z50" i="117"/>
  <c r="Y76" i="117"/>
  <c r="AA76" i="117"/>
  <c r="Z76" i="117"/>
  <c r="N76" i="117"/>
  <c r="P76" i="117"/>
  <c r="O76" i="117"/>
  <c r="P4" i="102"/>
  <c r="N4" i="102"/>
  <c r="O4" i="102"/>
  <c r="O4" i="111"/>
  <c r="M4" i="111"/>
  <c r="N4" i="111"/>
  <c r="Q3" i="116"/>
  <c r="R3" i="116"/>
  <c r="P3" i="116"/>
  <c r="P43" i="102"/>
  <c r="N43" i="102"/>
  <c r="O43" i="102"/>
  <c r="Z62" i="110"/>
  <c r="AA62" i="110"/>
  <c r="AB62" i="110"/>
  <c r="Z110" i="116"/>
  <c r="AC109" i="116"/>
  <c r="AB109" i="116"/>
  <c r="AD109" i="116"/>
  <c r="Z111" i="116"/>
  <c r="Y94" i="115"/>
  <c r="Y93" i="115"/>
  <c r="Z78" i="117"/>
  <c r="W80" i="117"/>
  <c r="W79" i="117"/>
  <c r="AA78" i="117"/>
  <c r="Y78" i="117"/>
  <c r="R63" i="116"/>
  <c r="Q63" i="116"/>
  <c r="P63" i="116"/>
  <c r="AD65" i="116"/>
  <c r="AC65" i="116"/>
  <c r="AB65" i="116"/>
  <c r="Q85" i="115"/>
  <c r="AC18" i="116"/>
  <c r="AB18" i="116"/>
  <c r="AD18" i="116"/>
  <c r="Z41" i="117"/>
  <c r="P14" i="116"/>
  <c r="Q14" i="116"/>
  <c r="R14" i="116"/>
  <c r="R65" i="116"/>
  <c r="Q65" i="116"/>
  <c r="P65" i="116"/>
  <c r="AD73" i="116"/>
  <c r="AA42" i="117"/>
  <c r="N20" i="117"/>
  <c r="O20" i="117"/>
  <c r="P20" i="117"/>
  <c r="O87" i="117"/>
  <c r="N87" i="117"/>
  <c r="P87" i="117"/>
  <c r="P3" i="110"/>
  <c r="O3" i="110"/>
  <c r="N3" i="110"/>
  <c r="Q109" i="116"/>
  <c r="O110" i="116"/>
  <c r="P109" i="116"/>
  <c r="O111" i="116"/>
  <c r="R109" i="116"/>
  <c r="P85" i="115"/>
  <c r="Q18" i="116"/>
  <c r="P18" i="116"/>
  <c r="R18" i="116"/>
  <c r="Y41" i="117"/>
  <c r="P12" i="116"/>
  <c r="Q12" i="116"/>
  <c r="R12" i="116"/>
  <c r="AA44" i="117"/>
  <c r="AA74" i="117"/>
  <c r="Y74" i="117"/>
  <c r="Z74" i="117"/>
  <c r="AD117" i="116"/>
  <c r="AB117" i="116"/>
  <c r="AC117" i="116"/>
  <c r="AB75" i="116"/>
  <c r="AC75" i="116"/>
  <c r="AD75" i="116"/>
  <c r="P56" i="116"/>
  <c r="AD121" i="116"/>
  <c r="AB121" i="116"/>
  <c r="AC121" i="116"/>
  <c r="P22" i="115"/>
  <c r="O22" i="115"/>
  <c r="Q22" i="115"/>
  <c r="Y42" i="117"/>
  <c r="Q26" i="115"/>
  <c r="O26" i="115"/>
  <c r="P26" i="115"/>
  <c r="Q104" i="116"/>
  <c r="P104" i="116"/>
  <c r="R104" i="116"/>
  <c r="O6" i="115"/>
  <c r="P6" i="115"/>
  <c r="Q6" i="115"/>
  <c r="N61" i="110"/>
  <c r="O61" i="110"/>
  <c r="P61" i="110"/>
  <c r="O81" i="117"/>
  <c r="M83" i="117"/>
  <c r="M82" i="117"/>
  <c r="P81" i="117"/>
  <c r="N81" i="117"/>
  <c r="O3" i="111"/>
  <c r="N3" i="111"/>
  <c r="M3" i="111"/>
  <c r="Q3" i="115"/>
  <c r="O3" i="115"/>
  <c r="P3" i="115"/>
  <c r="P3" i="117"/>
  <c r="N3" i="117"/>
  <c r="O3" i="117"/>
  <c r="P44" i="102"/>
  <c r="N44" i="102"/>
  <c r="O44" i="102"/>
  <c r="Z61" i="110"/>
  <c r="AA61" i="110"/>
  <c r="AB61" i="110"/>
  <c r="Y91" i="115"/>
  <c r="Y90" i="115"/>
  <c r="Z113" i="116"/>
  <c r="AC112" i="116"/>
  <c r="AB112" i="116"/>
  <c r="AD112" i="116"/>
  <c r="Z114" i="116"/>
  <c r="Z81" i="117"/>
  <c r="W83" i="117"/>
  <c r="W82" i="117"/>
  <c r="AA81" i="117"/>
  <c r="Y81" i="117"/>
  <c r="P50" i="117"/>
  <c r="N50" i="117"/>
  <c r="O50" i="117"/>
  <c r="R21" i="116"/>
  <c r="P21" i="116"/>
  <c r="Q21" i="116"/>
  <c r="R15" i="116"/>
  <c r="P15" i="116"/>
  <c r="Q15" i="116"/>
  <c r="Y44" i="117"/>
  <c r="AA48" i="117"/>
  <c r="Y48" i="117"/>
  <c r="Z48" i="117"/>
  <c r="AD63" i="116"/>
  <c r="AC63" i="116"/>
  <c r="AB63" i="116"/>
  <c r="Q56" i="116"/>
  <c r="AD120" i="116"/>
  <c r="AC120" i="116"/>
  <c r="AB120" i="116"/>
  <c r="Q19" i="115"/>
  <c r="O19" i="115"/>
  <c r="P19" i="115"/>
  <c r="N19" i="117"/>
  <c r="O19" i="117"/>
  <c r="P19" i="117"/>
  <c r="O22" i="117"/>
  <c r="N22" i="117"/>
  <c r="P22" i="117"/>
  <c r="Q30" i="115"/>
  <c r="O30" i="115"/>
  <c r="P30" i="115"/>
  <c r="P58" i="110"/>
  <c r="O58" i="110"/>
  <c r="N58" i="110"/>
  <c r="R106" i="116"/>
  <c r="P106" i="116"/>
  <c r="Q106" i="116"/>
  <c r="N6" i="117"/>
  <c r="O6" i="117"/>
  <c r="P6" i="117"/>
  <c r="N90" i="115"/>
  <c r="O89" i="115"/>
  <c r="N91" i="115"/>
  <c r="Q89" i="115"/>
  <c r="P89" i="115"/>
  <c r="N93" i="115"/>
  <c r="O92" i="115"/>
  <c r="P92" i="115"/>
  <c r="N94" i="115"/>
  <c r="Q92" i="115"/>
  <c r="P73" i="116"/>
  <c r="R73" i="116"/>
  <c r="Q73" i="116"/>
  <c r="P74" i="117"/>
  <c r="N74" i="117"/>
  <c r="O74" i="117"/>
  <c r="R75" i="116"/>
  <c r="P75" i="116"/>
  <c r="Q75" i="116"/>
  <c r="AD21" i="116"/>
  <c r="AB21" i="116"/>
  <c r="AC21" i="116"/>
  <c r="Q11" i="116"/>
  <c r="P11" i="116"/>
  <c r="R11" i="116"/>
  <c r="AB118" i="116"/>
  <c r="AC118" i="116"/>
  <c r="AD118" i="116"/>
  <c r="P48" i="117"/>
  <c r="N48" i="117"/>
  <c r="O48" i="117"/>
  <c r="O27" i="115"/>
  <c r="P27" i="115"/>
  <c r="Q27" i="115"/>
  <c r="O23" i="117"/>
  <c r="N23" i="117"/>
  <c r="P23" i="117"/>
  <c r="Q29" i="115"/>
  <c r="P29" i="115"/>
  <c r="O29" i="115"/>
  <c r="P59" i="110"/>
  <c r="N59" i="110"/>
  <c r="O59" i="110"/>
  <c r="O85" i="117"/>
  <c r="P85" i="117"/>
  <c r="N85" i="117"/>
  <c r="AB73" i="116" l="1"/>
  <c r="AA91" i="115"/>
  <c r="AC91" i="115"/>
  <c r="AB91" i="115"/>
  <c r="AC94" i="115"/>
  <c r="AB94" i="115"/>
  <c r="AA94" i="115"/>
  <c r="AC90" i="115"/>
  <c r="AB90" i="115"/>
  <c r="AA90" i="115"/>
  <c r="AB93" i="115"/>
  <c r="AA93" i="115"/>
  <c r="AC93" i="115"/>
  <c r="Q94" i="115"/>
  <c r="O94" i="115"/>
  <c r="P94" i="115"/>
  <c r="P90" i="115"/>
  <c r="O90" i="115"/>
  <c r="Q90" i="115"/>
  <c r="R105" i="116"/>
  <c r="Q105" i="116"/>
  <c r="P105" i="116"/>
  <c r="P86" i="117"/>
  <c r="N86" i="117"/>
  <c r="O86" i="117"/>
  <c r="P107" i="116"/>
  <c r="Q107" i="116"/>
  <c r="R107" i="116"/>
  <c r="AC114" i="116"/>
  <c r="AB114" i="116"/>
  <c r="AD114" i="116"/>
  <c r="AD113" i="116"/>
  <c r="AB113" i="116"/>
  <c r="AC113" i="116"/>
  <c r="P4" i="117"/>
  <c r="O4" i="117"/>
  <c r="N4" i="117"/>
  <c r="O83" i="117"/>
  <c r="P83" i="117"/>
  <c r="N83" i="117"/>
  <c r="Q7" i="115"/>
  <c r="P7" i="115"/>
  <c r="O7" i="115"/>
  <c r="R111" i="116"/>
  <c r="Q111" i="116"/>
  <c r="P111" i="116"/>
  <c r="N88" i="117"/>
  <c r="P88" i="117"/>
  <c r="O88" i="117"/>
  <c r="Z80" i="117"/>
  <c r="AA80" i="117"/>
  <c r="Y80" i="117"/>
  <c r="R4" i="116"/>
  <c r="P4" i="116"/>
  <c r="Q4" i="116"/>
  <c r="AC19" i="116"/>
  <c r="AB19" i="116"/>
  <c r="AD19" i="116"/>
  <c r="O79" i="117"/>
  <c r="P79" i="117"/>
  <c r="N79" i="117"/>
  <c r="Q114" i="116"/>
  <c r="P114" i="116"/>
  <c r="R114" i="116"/>
  <c r="O91" i="115"/>
  <c r="P91" i="115"/>
  <c r="Q91" i="115"/>
  <c r="Z82" i="117"/>
  <c r="AA82" i="117"/>
  <c r="Y82" i="117"/>
  <c r="P5" i="117"/>
  <c r="N5" i="117"/>
  <c r="O5" i="117"/>
  <c r="P4" i="115"/>
  <c r="Q4" i="115"/>
  <c r="Q5" i="116"/>
  <c r="R5" i="116"/>
  <c r="P5" i="116"/>
  <c r="Q19" i="116"/>
  <c r="P19" i="116"/>
  <c r="R19" i="116"/>
  <c r="O80" i="117"/>
  <c r="P80" i="117"/>
  <c r="N80" i="117"/>
  <c r="P93" i="115"/>
  <c r="Q93" i="115"/>
  <c r="O93" i="115"/>
  <c r="P8" i="117"/>
  <c r="O8" i="117"/>
  <c r="N8" i="117"/>
  <c r="Z83" i="117"/>
  <c r="AA83" i="117"/>
  <c r="Y83" i="117"/>
  <c r="P5" i="115"/>
  <c r="Q5" i="115"/>
  <c r="O5" i="115"/>
  <c r="Q110" i="116"/>
  <c r="R110" i="116"/>
  <c r="P110" i="116"/>
  <c r="R22" i="116"/>
  <c r="P22" i="116"/>
  <c r="Q22" i="116"/>
  <c r="P113" i="116"/>
  <c r="Q113" i="116"/>
  <c r="R113" i="116"/>
  <c r="R8" i="116"/>
  <c r="P8" i="116"/>
  <c r="Q8" i="116"/>
  <c r="O7" i="117"/>
  <c r="P7" i="117"/>
  <c r="N7" i="117"/>
  <c r="O82" i="117"/>
  <c r="P82" i="117"/>
  <c r="N82" i="117"/>
  <c r="P8" i="115"/>
  <c r="Q8" i="115"/>
  <c r="O8" i="115"/>
  <c r="Z79" i="117"/>
  <c r="AA79" i="117"/>
  <c r="Y79" i="117"/>
  <c r="AC111" i="116"/>
  <c r="AB111" i="116"/>
  <c r="AD111" i="116"/>
  <c r="AD110" i="116"/>
  <c r="AB110" i="116"/>
  <c r="AC110" i="116"/>
  <c r="AD22" i="116"/>
  <c r="AB22" i="116"/>
  <c r="AC22" i="116"/>
  <c r="R7" i="116"/>
  <c r="P7" i="116"/>
  <c r="Q7" i="116"/>
</calcChain>
</file>

<file path=xl/sharedStrings.xml><?xml version="1.0" encoding="utf-8"?>
<sst xmlns="http://schemas.openxmlformats.org/spreadsheetml/2006/main" count="4681" uniqueCount="529">
  <si>
    <t>Date</t>
  </si>
  <si>
    <t>Version</t>
  </si>
  <si>
    <t>Company</t>
  </si>
  <si>
    <t>Comments</t>
  </si>
  <si>
    <t>2018.7.24</t>
  </si>
  <si>
    <t>Huawei</t>
  </si>
  <si>
    <t>Document created.</t>
  </si>
  <si>
    <t>Results Updated</t>
  </si>
  <si>
    <t>2018.8.13</t>
  </si>
  <si>
    <t>1. Add LTE results for Rural A and Rural C test environments.
2. Update UL channel estimation and DMRS overhead taking into account the tradeoff between the DMRS overhead and the accuary of channel estimation.</t>
  </si>
  <si>
    <t>Result Updated</t>
  </si>
  <si>
    <t>2018.8.16</t>
  </si>
  <si>
    <t>CATT</t>
  </si>
  <si>
    <t>2018.8.17</t>
  </si>
  <si>
    <t>CAICT</t>
  </si>
  <si>
    <t>Rural Result Updated</t>
  </si>
  <si>
    <t>OPPO</t>
  </si>
  <si>
    <t>2018.8.18</t>
  </si>
  <si>
    <t>CMCC</t>
  </si>
  <si>
    <t>2018.8.19</t>
  </si>
  <si>
    <t>ZTE</t>
  </si>
  <si>
    <t>Upload results</t>
  </si>
  <si>
    <t>2018.8.20</t>
  </si>
  <si>
    <t>China Telecom</t>
  </si>
  <si>
    <t>1. Add results for TDD 15kHz SCS and update results for TDD 30kHz SCS based on non-precoded CSI-RS measurement
2. Add results for new antenna configuration, i.e. 16Tx for DL and 4Tx for UL</t>
  </si>
  <si>
    <t>2018.8.23</t>
  </si>
  <si>
    <t>Parameters updated</t>
  </si>
  <si>
    <t>Updated results and Config-A's TxRP's antenna</t>
  </si>
  <si>
    <t>2018.8.27</t>
  </si>
  <si>
    <t>1. Adjust formats and add a column to indicate the antenna and TXRU mapping in the result sheets.
2. Merge the overhead calculation sheet based on the newest version v36 into the result collection excel.</t>
  </si>
  <si>
    <t>2018.8.28</t>
  </si>
  <si>
    <t>Result updated</t>
  </si>
  <si>
    <t>2018.8.30</t>
  </si>
  <si>
    <t>Updated</t>
  </si>
  <si>
    <t>1. Update the overhead calculation according to the agrreed GP/PDCCH/PUCCH assumption in the overhead sheet.
2. Update the spectral efficiency results according to the adjusted overhead.</t>
  </si>
  <si>
    <t>2018.9.01</t>
  </si>
  <si>
    <t>1. Update the overhead calculation for larger bandwidth taking into account the guard band ratio and PDCCH overhead reduction in DL.
2. Add new sheets for the spectral efficiency results of the larger bandwidth.</t>
  </si>
  <si>
    <t>Rural - eMBB</t>
  </si>
  <si>
    <t>Technical configuration Parameters</t>
  </si>
  <si>
    <t>Reference value</t>
  </si>
  <si>
    <t>Intel</t>
  </si>
  <si>
    <t>NR FDD</t>
  </si>
  <si>
    <t>NR TDD</t>
  </si>
  <si>
    <t>LTE FDD</t>
  </si>
  <si>
    <t>LTE TDD</t>
  </si>
  <si>
    <t>Multiple access</t>
  </si>
  <si>
    <t>OFDMA</t>
  </si>
  <si>
    <t>Aligned with reference</t>
  </si>
  <si>
    <t>Duplexing</t>
  </si>
  <si>
    <t>FDD</t>
  </si>
  <si>
    <t>TDD</t>
  </si>
  <si>
    <t>Network synchronization</t>
  </si>
  <si>
    <t>Modulation</t>
  </si>
  <si>
    <t>Up to 256 QAM</t>
  </si>
  <si>
    <t>Coding on PDSCH</t>
  </si>
  <si>
    <t>LDPC
Max code-block size=8448bit 
[with BP decoding]</t>
  </si>
  <si>
    <t>Turbo</t>
  </si>
  <si>
    <t>Numerology</t>
  </si>
  <si>
    <t>15 kHz / 30 kHz,
14 OFDM symbol slot</t>
  </si>
  <si>
    <t>15 kHz SCS,
14 OFDM symbol slot</t>
  </si>
  <si>
    <t>15/30 kHz SCS,
14 OFDM symbol slot</t>
  </si>
  <si>
    <t>15 / 30 kHz SCS,
14 OFDM symbol slot</t>
  </si>
  <si>
    <t>30 kHz SCS,
14 OFDM symbol slot</t>
  </si>
  <si>
    <t>Guard band ratio on simulation bandwidth</t>
  </si>
  <si>
    <t>FDD: 6.4% (for 10 MHz bandwidth)
TDD: 8.2% (51 RB for 30kHz SCS and  20 MHz bandwidth)
TDD: 4.6% (106 RB for 15kHz SCS and  20 MHz bandwidth)</t>
  </si>
  <si>
    <t>Simulation bandwdith</t>
  </si>
  <si>
    <t>FDD: 10 MHz
TDD: 20 MHz</t>
  </si>
  <si>
    <t>Frame structure</t>
  </si>
  <si>
    <t>Full downlink</t>
  </si>
  <si>
    <t>DDDSU</t>
  </si>
  <si>
    <t>DSUUD</t>
  </si>
  <si>
    <t>DSUUD
DDDSU</t>
  </si>
  <si>
    <t>DDSU</t>
  </si>
  <si>
    <t>Transmission scheme</t>
  </si>
  <si>
    <t>Closed SU/MU-MIMO adaptation</t>
  </si>
  <si>
    <t>closed SU/MU-MIMO adaptation</t>
  </si>
  <si>
    <t>DL CSI measurement</t>
  </si>
  <si>
    <t>Non-precoded CSI-RS  based</t>
  </si>
  <si>
    <t xml:space="preserve"> -- Precoded CSI-RS based
 -- Non-precoded CSI-RS based</t>
  </si>
  <si>
    <t>Precoded CSI-RS based, non-PMI</t>
  </si>
  <si>
    <t>Non-PMI feedback</t>
  </si>
  <si>
    <t>DL codebook</t>
  </si>
  <si>
    <t>Type II codebook;
4 beams, WB+SB amplitude quantization, 8 PSK phase quantization</t>
  </si>
  <si>
    <t>LTE Advanced-CSI codebook;
2 beams, WB amplitude quantization, QPSK phase quantization</t>
  </si>
  <si>
    <t>Type II codebook;
4beam, wb+sb, 8psk</t>
  </si>
  <si>
    <t>Type II codebook;
4 beams, WB+SB, 8 PSK</t>
  </si>
  <si>
    <t xml:space="preserve"> -- For precoded CSI-RS based, non-PMI, N.A.
 -- For non-precoded CSI-RS, Type II codebook;4 beams, WB+SB, 8 PSK</t>
  </si>
  <si>
    <t>LTE Advanced-CSI codebook;
2 beams, WB+SB, QPSK</t>
  </si>
  <si>
    <t xml:space="preserve"> -- For precoded CSI-RS based, non-PMI, N.A.
 -- For non-precoded CSI-RS, LTE Advanced-CSI codebook; 2 beams, WB+SB, QPSK</t>
  </si>
  <si>
    <t>N/A</t>
  </si>
  <si>
    <t>Type II codebook;</t>
  </si>
  <si>
    <t>PRB bundling</t>
  </si>
  <si>
    <t>4 PRBs</t>
  </si>
  <si>
    <t>3 PRBs</t>
  </si>
  <si>
    <t>2 PRBs</t>
  </si>
  <si>
    <t>MU dimension</t>
  </si>
  <si>
    <t>Up to 8 layers for 8Tx;
Up to 12 layers for 16Tx;</t>
  </si>
  <si>
    <t>Up to 8 layers for 8T;</t>
  </si>
  <si>
    <t>Up to 12 layers</t>
  </si>
  <si>
    <t>Up to 8 layers</t>
  </si>
  <si>
    <t>SU dimension</t>
  </si>
  <si>
    <t>For 2Rx: Up to 2 layers</t>
  </si>
  <si>
    <t>For 2Rx: Up to 2 layers;</t>
  </si>
  <si>
    <t>For 4Rx: Up to 4 layers</t>
  </si>
  <si>
    <t>Codeword (CW)-to-layer mapping</t>
  </si>
  <si>
    <t>For 1~4 layers, CW1;
For 5 layers or more, two CWs</t>
  </si>
  <si>
    <t>For larger than or equal to 2 layers, two CWs.</t>
  </si>
  <si>
    <t>SRS transmission</t>
  </si>
  <si>
    <t>Companies to Report:
• Precoded or non-precoded SRS transmission;
• SRS switch or not for 1T4R/2T4R/1T2R
• SRS bandwidth
• Number of OFDM symbols within 1 slot for SRS transmission per UE</t>
  </si>
  <si>
    <t>For UE 2 Tx ports: Non-precoded SRS, 2 SRS ports (with 2 SRS resources),
4 symbols per 5 slots;</t>
  </si>
  <si>
    <t>For UE 2 Tx ports: Non-precoded SRS, 2 SRS ports (with 2 SRS resources),
2 symbols in every 10 slots</t>
  </si>
  <si>
    <t>For UE 2 Tx ports: Non-precoded SRS, 2 SRS ports (with 2 SRS resources),
2 symbols in special slot for SRS,
8 PRBs per symbol</t>
  </si>
  <si>
    <t>For UE 2 Tx ports: Non-precoded SRS, 2 SRS ports (with 2 SRS resources),
2 symbols in every 10 ms</t>
  </si>
  <si>
    <t>• non-precoded SRS transmission;</t>
  </si>
  <si>
    <t>CSI feedback</t>
  </si>
  <si>
    <t xml:space="preserve">PMI, CQI: every 5 slot; RI: every 5 slot;
Subband based </t>
  </si>
  <si>
    <t xml:space="preserve">CQI: every 5 slot; RI: every 5 slot, CRI: every 5 slot
Subband based </t>
  </si>
  <si>
    <t xml:space="preserve">PMI, CQI: every 10 slot; RI: every 10 slot;
Subband based </t>
  </si>
  <si>
    <t xml:space="preserve">CQI: every 10 slot; RI: every 10 slot, CRI: every 10 slot; PMI: every 10 slot; 
Subband based </t>
  </si>
  <si>
    <t xml:space="preserve">PMI, CQI: every 10 subframes; RI: every 10 subframes;
Subband based </t>
  </si>
  <si>
    <t xml:space="preserve">CQI: every 10 subframes; RI: every 10 subframes, CRI: every 10 subframes; PMI: every 10 subframes; 
Subband based </t>
  </si>
  <si>
    <t>Interference measurement</t>
  </si>
  <si>
    <t>SU-CQI; CSI-IM for inter-cell interference measurement</t>
  </si>
  <si>
    <t>SU-CQI; CRS for inter-cell interference measurement</t>
  </si>
  <si>
    <t>CBG</t>
  </si>
  <si>
    <t>ACK/NACK delay</t>
  </si>
  <si>
    <t>The next available UL slot</t>
  </si>
  <si>
    <t>N+4</t>
  </si>
  <si>
    <t>AT least N+4</t>
  </si>
  <si>
    <t>Re-transmission delay</t>
  </si>
  <si>
    <t>the next available DL slot after receiving NACK</t>
  </si>
  <si>
    <t>N+8</t>
  </si>
  <si>
    <t>Antenna configuration at TRxP</t>
  </si>
  <si>
    <t>(M, N, P, Mg, Ng; Mp, Np)
- M: Number of vertical antenna elements within a panel, on one polarization
- N: Number of horizontal antenna elements within a panel, on one polarization
- P: Number of polarizations
- Mg: Number of panels in a column;
- Ng: Number of panels in a row;
- Mp: Number of vertical TXRUs within a panel, on one polarization
- Np: Number of horizontal TXRUs within a panel, on one polarization</t>
  </si>
  <si>
    <t>For 8T: (M,N,P,Mg,Ng; Mp,Np) = (8,4,2,1,1;1,4);
For 16T: (M,N,P,Mg,Ng; Mp,Np) = (8,4,2,1,1;2,4);
(dH, dV)=(0.5, 0.8)λ</t>
  </si>
  <si>
    <t xml:space="preserve">For 8T: (M,N,P,Mg,Ng; Mp,Np) = (8,4,2,1,1;1,4)
(dH, dV)=(0.5, 0.8)λ;
</t>
  </si>
  <si>
    <t>For 16T: (M,N,P,Mg,Ng; Mp,Np) = (4,8,2,1,1;1,8)
(dH, dV)=(0.5, 0.8)λ</t>
  </si>
  <si>
    <t>For 8T: (M,N,P,Mg,Ng; Mp,Np) = (8,4,2,1,1;1,4)
(dH, dV)=(0.5, 0.8)λ</t>
  </si>
  <si>
    <t>For 8T: (M,N,P,Mg,Ng; Mp,Np) = (8,4,2,1,1;1,4)
For 16T: (M,N,P,Mg,Ng; Mp,Np) = (4,8,2,1,1;1,8)
(dH, dV)=(0.5, 0.8)λ</t>
  </si>
  <si>
    <t xml:space="preserve">For 8T: (M,N,P,Mg,Ng; Mp,Np) = (8,4,2,1,1;1,4)
(dH, dV)=(0.5, 0.8)λ
</t>
  </si>
  <si>
    <t>Antenna configuration at UE</t>
  </si>
  <si>
    <t>(M, N, P, Mg, Ng; Mp, Np)
- M: Number of vertical antenna elements within a panel, on one polarization
- N: Number of horizontal antenna elements within a panel, on one polarization
- P: Number of polarizations
- Mg: Number of panels;
- Ng: default: 1
- Mp: Number of vertical TXRUs within a panel, on one polarization
- Np: Number of horizontal TXRUs within a panel, on one polarization</t>
  </si>
  <si>
    <t>For 2R: (M,N,P,Mg,Ng; Mp,Np) = (1,1,2,1,1; 1,1)</t>
  </si>
  <si>
    <t>For 2R: (M,N,P,Mg,Ng; Mp,Np) = (1,1,2,1,1; 1,1);</t>
  </si>
  <si>
    <t>For 4R: (M,N,P,Mg,Ng; Mp,Np) = (1,2,2,1,1; 1,2)</t>
  </si>
  <si>
    <t>Scheduling</t>
  </si>
  <si>
    <t>PF</t>
  </si>
  <si>
    <t>Receiver</t>
  </si>
  <si>
    <t>MMSE-IRC</t>
  </si>
  <si>
    <t>Channel estimation</t>
  </si>
  <si>
    <t>Non-ideal</t>
  </si>
  <si>
    <t>ideal</t>
  </si>
  <si>
    <t>System configuration parameters</t>
  </si>
  <si>
    <t>Reference Value</t>
  </si>
  <si>
    <t xml:space="preserve">Mechanic tilt </t>
  </si>
  <si>
    <t>90° in GCS (pointing to horizontal direction)</t>
  </si>
  <si>
    <t>Electronic tilt</t>
  </si>
  <si>
    <t>[100°] in LCS</t>
  </si>
  <si>
    <t>100 degree</t>
  </si>
  <si>
    <t>Handover margin (dB)</t>
  </si>
  <si>
    <t>UT attachment</t>
  </si>
  <si>
    <t>Based on RSRP (formula (8.1-1) in TR36.873) from port 0</t>
  </si>
  <si>
    <t>Wrapping around method</t>
  </si>
  <si>
    <t>Geographical distance based wrapping</t>
  </si>
  <si>
    <t>Beam set at TRxP
(Constraints for the range of selective analog beams per TRxP)</t>
  </si>
  <si>
    <t>-</t>
  </si>
  <si>
    <t>Beam set at UE
(Constraints for the range of selective analog beams for UE)</t>
  </si>
  <si>
    <t>Criteria for selection for serving TRxP</t>
  </si>
  <si>
    <t xml:space="preserve">Maximizing RSRP where the digital beamforming is not considered </t>
  </si>
  <si>
    <t>Criteria for analog beam selection for serving TRxP</t>
  </si>
  <si>
    <t>Criteria for analog beam selection for interfering TRxP</t>
  </si>
  <si>
    <t>Other system configuration parameters align with Report ITU-R M.2412</t>
  </si>
  <si>
    <t>SCFDMA</t>
  </si>
  <si>
    <t>Up to 256QAM</t>
  </si>
  <si>
    <t>Coding on PUSCH</t>
  </si>
  <si>
    <t>Full uplink</t>
  </si>
  <si>
    <t>SIMO</t>
  </si>
  <si>
    <t>SU-MIMO with rank adaptation</t>
  </si>
  <si>
    <t>UL codebook</t>
  </si>
  <si>
    <r>
      <rPr>
        <sz val="10"/>
        <rFont val="Arial"/>
        <family val="2"/>
      </rPr>
      <t>N</t>
    </r>
    <r>
      <rPr>
        <sz val="10"/>
        <rFont val="Arial"/>
        <family val="2"/>
      </rPr>
      <t>/A</t>
    </r>
  </si>
  <si>
    <t>Non-codebook based</t>
  </si>
  <si>
    <t>For 2Tx: NR 2Tx codebook</t>
  </si>
  <si>
    <t>For 2Tx: LTE 2Tx codebook</t>
  </si>
  <si>
    <t>UL 2Tx Codebook</t>
  </si>
  <si>
    <t>For 1 Tx: Up to 1 layer;
For 2Tx: Up to 2 layers</t>
  </si>
  <si>
    <t>For 2 Tx: Up to 2 layer</t>
  </si>
  <si>
    <t>For 1 Tx: Up to 1 layer</t>
  </si>
  <si>
    <t>1 CW</t>
  </si>
  <si>
    <t>For UE 1 Tx ports: Non-precoded SRS, 1 SRS ports (with 1 SRS resources);
For UE 2 Tx ports: Non-precoded SRS, 2 SRS ports (with 2 SRS resources),
2 symbols for SRS in every 5 slots;
8 PRBs per symbol</t>
  </si>
  <si>
    <t>For UE 2 Tx ports: Non-precoded SRS, 2 SRS ports (with 2 SRS resources),
2 symbols  for SRS,
8 PRBs per symbol</t>
  </si>
  <si>
    <t>For UE 1 Tx ports: Non-precoded SRS, 1 SRS ports (with 1 SRS resources),
1 symbols for SRS in every 5 slots,
8 PRBs per symbol</t>
  </si>
  <si>
    <t>For UE 2 Tx ports: Non-precoded SRS, 2 SRS ports (with 1 SRS resources),
2 symbols for SRS in every 10 slots,</t>
  </si>
  <si>
    <t>2 SRS ports : Non-precoded SRS, 
2 symbols for SRS in every 10 slots,</t>
  </si>
  <si>
    <t>For 8R: (M,N,P,Mg,Ng; Mp,Np) = (8,4,2,1,1; 1,4)
(dH, dV)=(0.5, 0.8)λ</t>
  </si>
  <si>
    <t xml:space="preserve">64Rx cross-polarized antenna
(M,N,P,Mg,Ng) (8,4,2,1,1)
8TXRU
(Mp,Np,P,Mg,Ng)  (1,4,2,1,1)
</t>
  </si>
  <si>
    <t>For 1T:  (M,N,P,Mg,Ng; Mp,Np)= (1,1,1,1,1; 1,1);
For 2T:  (M,N,P,Mg,Ng; Mp,Np)=  (1,1,2,1,1; 1,2)
(dH, dV)=( N/A, N/A)λ</t>
  </si>
  <si>
    <t>For 2T:  (M,N,P,Mg,Ng; Mp,Np)=  (1,1,2,1,1; 1,2)
(dH, dV)=( N/A, N/A)λ</t>
  </si>
  <si>
    <t>For 1T:  (M,N,P,Mg,Ng; Mp,Np)= (1,1,1,1,1; 1,1)
(dH, dV)=( N/A, N/A)λ</t>
  </si>
  <si>
    <t>For 2T:  (M,N,P,Mg,Ng; Mp,Np)=  (1,1,2,1,1; 1,1)
(dH, dV)=( N/A, N/A)λ</t>
  </si>
  <si>
    <t>2Tx cross-polarized antenna
(M,N,P,Mg,Ng)  (1,1,2,1,1)
2TXRU
(Mp,Np,P,Mg,Ng)  (1,1,2,1,1)
Omni</t>
  </si>
  <si>
    <t>Max CBG number</t>
  </si>
  <si>
    <t>UL re-transmission delay</t>
  </si>
  <si>
    <t>Next available UL slot after reiving retransmission indication</t>
  </si>
  <si>
    <t>at leat N+8</t>
  </si>
  <si>
    <t>Power control parameter</t>
  </si>
  <si>
    <t>P0=-76, alpha = 0.8</t>
  </si>
  <si>
    <t>P0=-80, alpha = 0.8</t>
  </si>
  <si>
    <t>P0=-85, alpha = 0.8</t>
  </si>
  <si>
    <t>P0=-60, alpha = 0.6</t>
  </si>
  <si>
    <t>Power backoff model</t>
  </si>
  <si>
    <t>Continuous RB allocation: follow TS 38.101 for FR1;
Non-continuous RB allocation: additional 2 dB reduction</t>
  </si>
  <si>
    <t>Continuous RB allocation: follow TS 36.101 in Section 6.2.3;</t>
  </si>
  <si>
    <t>Continuous RB allocation: follow TS 38.101 for FR1;
Non-continuous RB allocation:[R1-1806322]</t>
  </si>
  <si>
    <t>N.A.</t>
  </si>
  <si>
    <t>Synchronized</t>
  </si>
  <si>
    <t>30kHz SCS,
14 OFDM symbol slot</t>
  </si>
  <si>
    <t>TDD: 8.2% (51 RB for 30 kHz 20 MHz); 1.72% (273 RB for 30 kHz 100 MHz)</t>
  </si>
  <si>
    <t>10 MHz</t>
  </si>
  <si>
    <t>20 MHz</t>
  </si>
  <si>
    <t>20MHz</t>
  </si>
  <si>
    <t xml:space="preserve">TDD Config 1: [DDDDDDDSUU], S(6DL:4GP:4UL) 
TDD Config 2: [DDSUUUUUUU], S(6DL:4GP:4UL) </t>
  </si>
  <si>
    <t>DDDSU
DSUUD</t>
  </si>
  <si>
    <t>FDD: Full downlink</t>
  </si>
  <si>
    <t xml:space="preserve"> Precoded CSI-RS based</t>
  </si>
  <si>
    <t>Precoded CSI-RS based</t>
  </si>
  <si>
    <t>Type II codebook</t>
  </si>
  <si>
    <t>For 4Rx: Up to 2 layers</t>
  </si>
  <si>
    <t>For UE 4 Tx ports: Non-precoded SRS, 4 SRS ports (with 4 SRS resources),
4 symbols per 5 slots;</t>
  </si>
  <si>
    <t>For UE 4 Tx ports: Non-precoded SRS, 4 SRS ports (with 4 SRS resources),
2 symbols in special slot for SRS,
8 PRBs per symbol</t>
  </si>
  <si>
    <t>• non-precoded SRS transmission;
• SRS switch for 2T4R
• adaptive SRS bandwidth per UE 
• 2 symbols within 1 slot for SRS transmission per UE</t>
  </si>
  <si>
    <t xml:space="preserve">CQI: every 10 slot; RI: every 10 slot, CRI: every 10 slot
Subband based </t>
  </si>
  <si>
    <t>CSI-IM</t>
  </si>
  <si>
    <t>The next available DL slot after receiving NACK</t>
  </si>
  <si>
    <t>For 32T: (M,N,P,Mg,Ng; Mp,Np) = (8,8,2,1,1;2,8)
(dH, dV)=(0.5, 0.8)λ</t>
  </si>
  <si>
    <t>For 32T: (M,N,P,Mg,Ng; Mp,Np) = (8,16,2,1,1;1,16)
For 32T: (M,N,P,Mg,Ng; Mp,Np) = (8,8,2,1,1;2,8)
(dH, dV)=(0.5, 0.8)λ</t>
  </si>
  <si>
    <t>For 32T: (M,N,P,Mg,Ng; Mp,Np) = (8,8,2,1,1;2,8)
For 64T: (M,N,P,Mg,Ng; Mp,Np) = (12,8,2,1,1;4,8)
(dH, dV)=(0.5, 0.8)λ</t>
  </si>
  <si>
    <t>For 16T: (M,N,P,Mg,Ng; Mp,Np) = (8,8,2,1,1;1,8)
(dH, dV)=(0.5, 0.8)λ</t>
  </si>
  <si>
    <t>For 64T:  (M,N,P,Mg,Ng; Mp,Np) = (12,8,2,1,1;4,8)
(dH, dV)=(0.5, 0.8)λ;</t>
  </si>
  <si>
    <r>
      <rPr>
        <sz val="9"/>
        <rFont val="Arial"/>
        <family val="2"/>
      </rPr>
      <t>For 64T: (M,N,P,Mg,Ng; Mp,Np) = (12,8,2,1,1;</t>
    </r>
    <r>
      <rPr>
        <sz val="9"/>
        <color theme="1"/>
        <rFont val="Arial"/>
        <family val="2"/>
      </rPr>
      <t>4,8</t>
    </r>
    <r>
      <rPr>
        <sz val="9"/>
        <rFont val="Arial"/>
        <family val="2"/>
      </rPr>
      <t>)
(dH, dV)=(0.5, 0.8)λ</t>
    </r>
  </si>
  <si>
    <t>For 4R: (M,N,P,Mg,Ng; Mp,Np) =  (1,2,2,1,1; 1,2)</t>
  </si>
  <si>
    <t>For 4R: (M,N,P,Mg,Ng; Mp,Np) = (1,2,2,1,1; 1,1)</t>
  </si>
  <si>
    <t>For 4R:  (M,N,P,Mg,Ng; Mp,Np)= (1,2,2,1,1; 1,2)
(dH, dV)=(0.5, N/A)λ</t>
  </si>
  <si>
    <t>For 4R:  (M,N,P,Mg,Ng; Mp,Np)= (1,2,2,1,1; 1,2)
(dH, dV)=(0.5, 0.5)λ</t>
  </si>
  <si>
    <t>SU-MIMO</t>
  </si>
  <si>
    <t>For 1Tx: Up to 1 layers
For 4Tx: Up to 2 layers</t>
  </si>
  <si>
    <t>For UE 1 Tx ports: Non-precoded SRS, 1 SRS ports (with 1 SRS resources);
For UE 4 Tx ports: Non-precoded SRS, 4 SRS ports (with 4 SRS resources);
2 symbols for SRS in every 5 slots,
8 PRBs per symbol</t>
  </si>
  <si>
    <t>For 32R:  (M, N, P, Mg, Ng; Mp, Np) = (8,8,2,1,1; 2,8)
(dH, dV)=(0.5, 0.8)λ</t>
  </si>
  <si>
    <t xml:space="preserve">192Rx cross-polarized antenna
(M,N,P,Mg,Ng) (12,8,2,1,1)
Alt-1:64TXRU
(Mp,Np,P,Mg,Ng)  (4,8,2,1,1)
Alt-2:32TXRU
(Mp,Np,P,Mg,Ng) (4,4,2,1,1)
</t>
  </si>
  <si>
    <t xml:space="preserve">For 1T:  (M, N, P, Mg, Ng; Mp, Np) = (1,1,1,1,1; 1,1)
(dH, dV)=( N/A, N/A)λ;
For 4T: (M,N,P,Mg,Ng; Mp,Np) =  (1,2,2,1,1; 1,2)
dH, dV)=( 0.5, N/A)λ;
</t>
  </si>
  <si>
    <t>2Tx cross-polarized antenna
(M,N,P,Mg,Ng) (1,1,2,1,1)
2TXRU
(Mp,Np,P,Mg,Ng) (1,1,2,1,1)
Omni</t>
  </si>
  <si>
    <t>Up to 8 layers for 8Tx;
Up to 12 layers for 16Tx</t>
  </si>
  <si>
    <t>Up to 8 layers;</t>
  </si>
  <si>
    <t>Up to 2 layers</t>
  </si>
  <si>
    <t>For UE 4 Tx ports: Non-precoded SRS, 4 SRS ports (with 4 SRS resources)
2 symbols per 5 slots for 30kHz SCS;
4 symbols per 5 slots for 15kHz SCS;</t>
  </si>
  <si>
    <t>For UE 4 Tx ports: Non-precoded SRS, 4 SRS ports (with 4 SRS resources),
2 symbols per 10ms</t>
  </si>
  <si>
    <t>64Tx cross-polarized antenna
(M,N,P,Mg,Ng) = (8,4,2,1,1)
8TXRU:Vertical 1-to-8
(dH, dV)=(0.5, 0.8)λ</t>
  </si>
  <si>
    <t>For 4R, (M,N,P,Mg,Ng; Mp,Np) = (1,2,2,1,1; 1,2)
(dH, dV)=(0.5, N/A)λ</t>
  </si>
  <si>
    <t>[96°] in LCS</t>
  </si>
  <si>
    <t>92 degree</t>
  </si>
  <si>
    <t>96 degree</t>
  </si>
  <si>
    <t>For 2Tx: NR 2Tx codebook
For 4Tx: NR 4Tx codebook</t>
  </si>
  <si>
    <t>For 2Tx/4Tx: Up to 2 layers</t>
  </si>
  <si>
    <t>For 2Tx: Up to 2 layers</t>
  </si>
  <si>
    <t>For UE 2 Tx ports: Non-precoded SRS, 2 SRS ports (with 2 SRS resources);
For UE 4 Tx ports: Non-precoded SRS, 4 SRS ports (with 4 SRS resources);
2 symbols for SRS in every 5 slots,
8 PRBs per symbol</t>
  </si>
  <si>
    <t>For UE 2 Tx ports: Non-precoded SRS, 2 SRS ports,
1 symbol for SRS in every 5 slots,
8 PRBs per symbol</t>
  </si>
  <si>
    <t xml:space="preserve">64Rx cross-polarized antenna
(M,N,P,Mg,Ng) (8,4,2,1,1)
8TXRU
(Mp,Np,P,Mg,Ng)  (1,4,2,1,1)
</t>
  </si>
  <si>
    <t>For 2T:  (M,N,P,Mg,Ng; Mp,Np)=  (1,1,2,1,1; 1,2)
(dH, dV)=( N/A, N/A)λ
For 4T: (M,N,P,Mg,Ng; Mp,Np) =  (1,2,2,1,1; 1,2)
dH, dV)=( 0.5, N/A)λ;</t>
  </si>
  <si>
    <t>For 2T:  (M,N,P,Mg,Ng; Mp,Np)=  (1,1,2,1,1; 1,2)
(dH, dV)=( N/A, N/A)λ;
For 4T: (M,N,P,Mg,Ng; Mp,Np) =  (1,2,2,1,1; 1,2)
dH, dV)=( 0.5, N/A)λ;</t>
  </si>
  <si>
    <t>(M,N,P,Mg,Ng) (1,2,2,1,1)
4TXRU
(Mp,Np,P,Mg,Ng) (1,2,2,1,1)
Omni</t>
  </si>
  <si>
    <t>NOTE: This table is a place-holder. The content will be from Intel's excel sheet on overhead.</t>
  </si>
  <si>
    <t>Overhead assumption</t>
  </si>
  <si>
    <t>FR1</t>
  </si>
  <si>
    <t>PDCCH</t>
  </si>
  <si>
    <t>2 symbols</t>
  </si>
  <si>
    <t>3 symbols in normal subframe, 2 symbols in MBSFN subframes</t>
  </si>
  <si>
    <t>SSB</t>
  </si>
  <si>
    <t>1 SSB / 20ms</t>
  </si>
  <si>
    <t>4 SSB / 20ms</t>
  </si>
  <si>
    <t>8 SSB / 20ms</t>
  </si>
  <si>
    <t>CSI-RS for CM</t>
  </si>
  <si>
    <t>5 slots period;
8 ports for 8Tx;</t>
  </si>
  <si>
    <t>5 slots period;
8 ports for 8Tx; 
16 ports for 16Tx;
32 ports for 32Tx</t>
  </si>
  <si>
    <t>5 slots period;
8 ports for 8Tx</t>
  </si>
  <si>
    <t>5 slots period;
32 ports for 32Tx;</t>
  </si>
  <si>
    <t>10 slots period;
8 ports for 8Tx; 16 ports for 16Tx; 32 ports for 32 Tx</t>
  </si>
  <si>
    <t xml:space="preserve"> -- Precoded CSI-RS: for 2RX: 2*10 ports with 10 slots period (UE-specific beformed csi-rs, 2 ports per UE)
for 4RX: 4*10 ports with 10 slots period (UE-specific beformed csi-rs, 4 ports per UE)
 -- Non-precoded CSI-RS: 8 ports for 8Tx; 16 ports for 16Tx; 32 ports for 32 Tx</t>
  </si>
  <si>
    <t>10 slots period;
16 ports for 16Tx; 32 ports for 32 Tx</t>
  </si>
  <si>
    <t xml:space="preserve"> -- Precoded CSI-RS: for 2RX: 2*10 ports with 10 slots period (UE-specific beformed csi-rs, 2 ports per UE)
for 4RX: 4*10 ports with 10 slots period (UE-specific beformed csi-rs, 4 ports per UE)
 -- Non-precoded CSI-RS: 16 ports for 16Tx; 32 ports for 32 Tx</t>
  </si>
  <si>
    <t>5 slots period;
10*4ports for 4Rx; 10*2ports for 2Rx</t>
  </si>
  <si>
    <t>5 ms period;
32 ports for 32Tx,8 ports for 8Tx
 1RE/port/PRB</t>
  </si>
  <si>
    <t>5 ms period;
4*10 ports, 1RE/port/PRB</t>
  </si>
  <si>
    <t xml:space="preserve">
4*8 ports with 5ms(10 slots) period (4 ports beamformed csi-rs)</t>
  </si>
  <si>
    <t>8*4 ports with 10 slots period</t>
  </si>
  <si>
    <t>CSI-RS for IM</t>
  </si>
  <si>
    <t>ZP CSI-RS with 5 slots period;
4 RE/PRB/5 slots</t>
  </si>
  <si>
    <t>ZP CSI-RS with 10 slots period;
4 RE/PRB/5 slots</t>
  </si>
  <si>
    <t>ZP CSI-RS with 5 ms period;
4 REs/PRB/5 ms</t>
  </si>
  <si>
    <t>ZP CSI-RS with 5 ms(10 slots) period;
4 RE/PRB/5 ms(10 slots)</t>
  </si>
  <si>
    <t>DMRS</t>
  </si>
  <si>
    <t>Type II dynamic;
For 8Tx: Up to 8 ports;</t>
  </si>
  <si>
    <t>Type II dynamic;
For 8Tx: Up to 8 ports;
For 16Tx: Up to 12 ports;
For 32Tx: Up to 12 ports;</t>
  </si>
  <si>
    <t>12 RE/PRB</t>
  </si>
  <si>
    <t>Type II, up to 12 ports, dynamic</t>
  </si>
  <si>
    <t>Type II, For 8Tx: 8 ports; For 32Tx:12 ports;</t>
  </si>
  <si>
    <t>24 RE/RB pair</t>
  </si>
  <si>
    <t>Type II dynamic;
For 8Tx: , Up to 8 ports;</t>
  </si>
  <si>
    <t>Type II, up to 12 ports for 32Tx 
and 8 ports for 8Tx, dynamic</t>
  </si>
  <si>
    <t>Type II dynamic;
For 8Tx: , Up to 8 ports;
For 16Tx: Up to 12 ports</t>
  </si>
  <si>
    <t>TRS</t>
  </si>
  <si>
    <t>20ms period;
maximal bandwidth with 52 PRB;
burst length with 2 slots
12 RE/PRB/20ms</t>
  </si>
  <si>
    <t>Four periodic NZP CSI-RS resources with 80ms period, bandwidth 52 PRB
12 RE/PRB/80ms</t>
  </si>
  <si>
    <t>12 REs/PRB with 20ms period;
maximal bandwidth with 52 PRB;</t>
  </si>
  <si>
    <t>12 REs/PRB with 20ms period;
maximal bandwidth with 51 PRB;</t>
  </si>
  <si>
    <t>20ms period;
maximal bandwidth with 52 PRB;
burst length with 2 slots
6 RE/PRB/20ms</t>
  </si>
  <si>
    <t>GP</t>
  </si>
  <si>
    <t>2 symbols in 10ms</t>
  </si>
  <si>
    <t>4 symbols per 5ms(10 slot)</t>
  </si>
  <si>
    <t>PSS/SSS</t>
  </si>
  <si>
    <t>288 REs per 10 ms</t>
  </si>
  <si>
    <t>PBCH</t>
  </si>
  <si>
    <t>240 REs per 10 ms</t>
  </si>
  <si>
    <t>FFS</t>
  </si>
  <si>
    <t>CRS</t>
  </si>
  <si>
    <t>2 ports</t>
  </si>
  <si>
    <t>4 ports</t>
  </si>
  <si>
    <t>MBSFN number</t>
  </si>
  <si>
    <t>6 MBSFN in 10 subframes</t>
  </si>
  <si>
    <t>2 MBSFN in 4 DL subframes</t>
  </si>
  <si>
    <t>PUCCH</t>
  </si>
  <si>
    <t xml:space="preserve">2 PRBs and 14 OS for the slots without SRS transmission; 2 PRBs and 12 OS for the slots with SRS  </t>
  </si>
  <si>
    <t>2 PRBs and 14 OS for 30kHz SCS for the slots without SRS transmission;
4 PRBs and 14 OS for 15kHz  SCS for the slots without SRS transmission</t>
  </si>
  <si>
    <t xml:space="preserve">2 PRBs and 14 OS for the slots without SRS transmission; 2 PRBs and 13 OS for the slots with SRS  </t>
  </si>
  <si>
    <t xml:space="preserve">1 slot with (3 PRB, 14 OS) and 9 slots with (1 PRB, 2 OS) </t>
  </si>
  <si>
    <t xml:space="preserve">1 slot with (3 PRB, 14 OS) and  3 slots with (1 PRB, 2 OS) </t>
  </si>
  <si>
    <t>4 PRBs, 14 OS</t>
  </si>
  <si>
    <t>Type II, 2  symbols (including one additional DMRS symbol), multiplexing with PUSCH</t>
  </si>
  <si>
    <t>2 complete DMRS symbols</t>
  </si>
  <si>
    <t>Type II, 2  symbols</t>
  </si>
  <si>
    <t>TypeII, 4 ports</t>
  </si>
  <si>
    <t>SRS</t>
  </si>
  <si>
    <t>2 symbols per 5 slots</t>
  </si>
  <si>
    <t>1 symbol per 5 slots</t>
  </si>
  <si>
    <t>2 symbols per 10 slots</t>
  </si>
  <si>
    <t>Note: OH1 is the orginal overhead provided by each company. OH2 is the adjusted overhead according to the agreed GP and PDCCH assumption. OH3 and OH4 is the further adjusted overhead for the larger bandwidth taking into account the gurad band ratio and PDCCH overhead reduction.</t>
  </si>
  <si>
    <t>Frequency Range 1 - FDD</t>
  </si>
  <si>
    <t>Assumption: 10MHz BW, 15kHz SCS, 10ms duration</t>
  </si>
  <si>
    <t>Simulation BW&amp;RB#</t>
  </si>
  <si>
    <t>Scale BW1&amp;RB#</t>
  </si>
  <si>
    <t>Scale BW2&amp;RB#</t>
  </si>
  <si>
    <t>Total bandwidth [MHz]</t>
  </si>
  <si>
    <t>TOTAL PRBs</t>
  </si>
  <si>
    <t>Guard band rtio</t>
  </si>
  <si>
    <t>Antenna configuration</t>
  </si>
  <si>
    <t>CSI-RS</t>
  </si>
  <si>
    <t>Total RE
w/ OH1</t>
  </si>
  <si>
    <t>Total OH RE w/ OH1</t>
  </si>
  <si>
    <t>Total OH (%) w/ OH1</t>
  </si>
  <si>
    <t>Total RE
w/ OH2</t>
  </si>
  <si>
    <t>Total OH RE
w/ OH2</t>
  </si>
  <si>
    <t>Total OH (%) w/ OH2</t>
  </si>
  <si>
    <t>Adjust factor for OH1 and OH2</t>
  </si>
  <si>
    <t>Total RE
w/ OH3 (20MHz)</t>
  </si>
  <si>
    <t>Total OH RE
w/ OH3
(20MHz)</t>
  </si>
  <si>
    <t>Total OH (%) w/ OH3 (20MHz)</t>
  </si>
  <si>
    <t>Adjust factor for OH2 and OH3</t>
  </si>
  <si>
    <t>Total RE
w/ OH4 (40MHz)</t>
  </si>
  <si>
    <t>Total OH RE
w/ OH4
(40MHz)</t>
  </si>
  <si>
    <t>Total OH (%) w/ OH4 (40MHz)</t>
  </si>
  <si>
    <t>Adjust factor for OH2 and OH4</t>
  </si>
  <si>
    <t>16T4R/32T4R</t>
  </si>
  <si>
    <t>8T2R/8T4R</t>
  </si>
  <si>
    <t>32T4R</t>
  </si>
  <si>
    <t>8T2R</t>
  </si>
  <si>
    <t>16T2R</t>
  </si>
  <si>
    <t>8T4R</t>
  </si>
  <si>
    <t>16T4R</t>
  </si>
  <si>
    <t>Frequency Range 1 - TDD</t>
  </si>
  <si>
    <t>Assumption: 20 MHz BW, 15kHz SCS, 10ms duration</t>
  </si>
  <si>
    <t>Total PRBs</t>
  </si>
  <si>
    <t>TDD Frame Structure</t>
  </si>
  <si>
    <t>GP(50%)</t>
  </si>
  <si>
    <t>Total RE
w/ OH3 (40MHz)</t>
  </si>
  <si>
    <t>Total OH RE
w/ OH3
(40MHz)</t>
  </si>
  <si>
    <t>Total OH (%) w/ OH3 (40MHz)</t>
  </si>
  <si>
    <t>DSUUD; S (6D,2G,6U)</t>
  </si>
  <si>
    <t>CATT(non-precoded CSIRS)</t>
  </si>
  <si>
    <t>DSUUD; S (11D,1G,2U)</t>
  </si>
  <si>
    <t>CATT(precoded CSIRS)</t>
  </si>
  <si>
    <t>DDDSU;S(10D,2G,2U)</t>
  </si>
  <si>
    <t>Assumption: 20 MHz BW, 30kHz SCS, 10ms duration</t>
  </si>
  <si>
    <t>Total RE
w/ OH4 (100MHz)</t>
  </si>
  <si>
    <t>Total OH RE
w/ OH4
(100MHz)</t>
  </si>
  <si>
    <t>Total OH (%) w/ OH4 (100MHz)</t>
  </si>
  <si>
    <t>8T2R/64T4R/8T4R</t>
  </si>
  <si>
    <t>DDDSU; S (10D,2G,2U)</t>
  </si>
  <si>
    <t>8T2R (Rural conf.A)</t>
  </si>
  <si>
    <t>16T4R (Rural conf.B)</t>
  </si>
  <si>
    <t>8T4R (Rural conf.C)</t>
  </si>
  <si>
    <t>DDDSU; S (11D,1G,2U)</t>
  </si>
  <si>
    <t>64T4R</t>
  </si>
  <si>
    <t xml:space="preserve">DDDDD DDSUU;  S(6D,4G,4U) </t>
  </si>
  <si>
    <t>Note: OH1 is the orginal overhead provided by each company. OH2 is the adjusted overhead according to the agreed GP and PUCCH assumption.</t>
  </si>
  <si>
    <t>Assumption: 10 MHz BW, 15kHz SCS, 10ms duration</t>
  </si>
  <si>
    <t>Channel model A</t>
  </si>
  <si>
    <t>RIT</t>
  </si>
  <si>
    <t>Antenna and TXRU mapping</t>
  </si>
  <si>
    <t>Antenna config &amp; Tx scheme</t>
  </si>
  <si>
    <t>Req.</t>
  </si>
  <si>
    <t>Mean</t>
  </si>
  <si>
    <t>Var</t>
  </si>
  <si>
    <t>Number of samples</t>
  </si>
  <si>
    <t>Channel model B</t>
  </si>
  <si>
    <t>DL Spectral efficiency</t>
  </si>
  <si>
    <t>NR</t>
  </si>
  <si>
    <t>gNB: (M,N,P,Mg,Ng; Mp,Np) = (8,4,2,1,1;1,4)</t>
  </si>
  <si>
    <t xml:space="preserve">8x2 MU-MIMO Type II Codebook </t>
  </si>
  <si>
    <t>15 kHz SCS</t>
  </si>
  <si>
    <t>Average [bit/s/Hz/TRxP]</t>
  </si>
  <si>
    <t>5th percentile [bit/s/Hz]</t>
  </si>
  <si>
    <t>LTE</t>
  </si>
  <si>
    <t>gNB: (M,N,P,Mg,Ng; Mp,Np) = (8,4,2,1,1;2,4)</t>
  </si>
  <si>
    <t xml:space="preserve">16x2 MU-MIMO Type II Codebook </t>
  </si>
  <si>
    <t xml:space="preserve">8x4 MU-MIMO Type II Codebook </t>
  </si>
  <si>
    <t>(M,N,P,Mg,Ng; Mp,Np) = (4,8,2,1,1;1,8)</t>
  </si>
  <si>
    <t xml:space="preserve">16x4 MU-MIMO Type II Codebook </t>
  </si>
  <si>
    <t>gNB: (M,N,P,Mg,Ng; Mp,Np) = (4,8,2,1,1;1,8)</t>
  </si>
  <si>
    <t>8x2 MU-MIMO ideal CSI feedback</t>
  </si>
  <si>
    <t>8x2 MU-MIMO Type I codebook</t>
  </si>
  <si>
    <t>8x2 MU-MIMO,  2T SRS</t>
  </si>
  <si>
    <t>30 kHz SCS</t>
  </si>
  <si>
    <t>16x2 MU-MIMO,  2T SRS</t>
  </si>
  <si>
    <t>16x4 MU-MIMO, 4T SRS</t>
  </si>
  <si>
    <t>UL spectral efficiency</t>
  </si>
  <si>
    <t>1x8 SU-MIMO, OFDMA</t>
  </si>
  <si>
    <t>4x16 MU-MIMO, OFDMA</t>
  </si>
  <si>
    <t>2x8 SU-MIMO, OFDMA</t>
  </si>
  <si>
    <t>2x8 SU-MIMO, Codebook based, OFDMA</t>
  </si>
  <si>
    <t>4x16 MU-MIMO, Codebook based, OFDMA</t>
  </si>
  <si>
    <t>2x8 SU-MIMO, Non-codebook based, OFDMA</t>
  </si>
  <si>
    <t>2x8 SU-MIMO, codebook based, OFDMA</t>
  </si>
  <si>
    <t>2x16 MU-MIMO, OFDMA</t>
  </si>
  <si>
    <t>gNB: (M,N,P,Mg,Ng; Mp,Np) = (8,8,2,1,1;2,8)</t>
  </si>
  <si>
    <t xml:space="preserve">32x4 MU-MIMO Type II Codebook </t>
  </si>
  <si>
    <t>(M,N,P,Mg,Ng; Mp,Np) = (8,16,2,1,1;1,16)</t>
  </si>
  <si>
    <t>32x4 MU-MIMO Type II Codebook</t>
  </si>
  <si>
    <t>gNB: (M,N,P,Mg,Ng; Mp,Np) = (8,8,2,1,1;1,8)</t>
  </si>
  <si>
    <t>16x4 MU-MIMO Type II Codebook</t>
  </si>
  <si>
    <t>32x4 MU-MIMO Type I codebook</t>
  </si>
  <si>
    <t>16x4 MU-MIMO Type I codebook</t>
  </si>
  <si>
    <t>16x4 MU-MIMO ideal CSI feedback</t>
  </si>
  <si>
    <t xml:space="preserve">32x8 MU-MIMO Type II Codebook </t>
  </si>
  <si>
    <t>32x4 MU-MIMO,  4T SRS</t>
  </si>
  <si>
    <t>gNB: (M,N,P,Mg,Ng; Mp,Np) = (8,16,2,1,1;1,16)</t>
  </si>
  <si>
    <t>32x4 MU-MIMO,  Type II Codebook</t>
  </si>
  <si>
    <t>gNB: (M,N,P,Mg,Ng; Mp,Np) = (4,32,2,1,1;1,32)</t>
  </si>
  <si>
    <t>64x8 MU-MIMO,  8T SRS</t>
  </si>
  <si>
    <t>gNB: (M,N,P,Mg,Ng; Mp,Np) = (12,8,2,1,1;4,8)</t>
  </si>
  <si>
    <t>64x4 MU-MIMO,  4T SRS (192Tx@gNB)</t>
  </si>
  <si>
    <t>DDDDD DDSUU</t>
  </si>
  <si>
    <t>16x4 MU-MIMO,  4T SRS</t>
  </si>
  <si>
    <t>32x8 MU-MIMO,  8T SRS</t>
  </si>
  <si>
    <t>gNB: (M,N,P,Mg,Ng; Mp,Np) = (4,32,2,1,1;2,32)</t>
  </si>
  <si>
    <t>128x4 MU-MIMO, 4T SRS</t>
  </si>
  <si>
    <t>1x32 SU-MIMO, OFDMA</t>
  </si>
  <si>
    <t>4x32 SU-MIMO, OFDMA</t>
  </si>
  <si>
    <t>4x32 MU-MIMO, OFDMA</t>
  </si>
  <si>
    <t>2x32 SU-MIMO, OFDMA</t>
  </si>
  <si>
    <t>4x16 SU-MIMO, OFDMA</t>
  </si>
  <si>
    <t>1x32 SU-MIMO, Codebook based, OFDMA</t>
  </si>
  <si>
    <t>4x32 SU-MIMO, Codebook based, OFDMA</t>
  </si>
  <si>
    <t>4x32 MU-MIMO, Codebook based, OFDMA</t>
  </si>
  <si>
    <t>8x64 SU-MIMO, Codebook based, OFDMA</t>
  </si>
  <si>
    <t>UUUUU</t>
  </si>
  <si>
    <t>2x64 SU-MIMO, Codebook based, OFDMA</t>
  </si>
  <si>
    <t>gNB: (M,N,P,Mg,Ng; Mp,Np) = (8,16,2,1,1;4,16)</t>
  </si>
  <si>
    <t>2x128, MU-MIMO, Codebook-based, OFDMA</t>
  </si>
  <si>
    <t>gNB: (M,N,P,Mg,Ng; Mp,Np) = (8,4,2,1,1;1,4);</t>
  </si>
  <si>
    <t>gNB: (M,N,P,Mg,Ng; Mp,Np) = (8,4,2,1,1;2,4);</t>
  </si>
  <si>
    <t>gNB: (M,N,P,Mg,Ng; Mp,Np) = (4,8,2,1,1;1,8);</t>
  </si>
  <si>
    <t>8x4 MU-MIMO ideal CSI feedback</t>
  </si>
  <si>
    <t>8x4 MU-MIMO Type I codebook</t>
  </si>
  <si>
    <t>8x4 MU-MIMO,  4T SRS</t>
  </si>
  <si>
    <t>16x4 MU-MIMO,  Type II Codebook</t>
  </si>
  <si>
    <t>64x8 MU-MIMO,   4T SRS (256Tx@gNB)</t>
  </si>
  <si>
    <r>
      <rPr>
        <sz val="10"/>
        <color rgb="FFC00000"/>
        <rFont val="Arial"/>
        <family val="2"/>
      </rPr>
      <t xml:space="preserve">8x4 </t>
    </r>
    <r>
      <rPr>
        <sz val="10"/>
        <rFont val="Arial"/>
        <family val="2"/>
      </rPr>
      <t>MU-MIMO,  4T SRS</t>
    </r>
  </si>
  <si>
    <t>4x8 SU-MIMO, OFDMA</t>
  </si>
  <si>
    <t>2x8 SU-MIMO, Codebook based, DFT-S-OFDM</t>
  </si>
  <si>
    <t>8x8 SU-MIMO</t>
  </si>
  <si>
    <t>4x8 SU-MIMO, Codebook based, OFDMA</t>
  </si>
  <si>
    <t>4x16 SU-MIMO, Codebook based, OFDMA</t>
  </si>
  <si>
    <t>8x64 MU-MIMO, Codebook based, OFDMA</t>
  </si>
  <si>
    <t>Bandwidth</t>
  </si>
  <si>
    <r>
      <rPr>
        <sz val="10"/>
        <rFont val="Arial"/>
        <family val="2"/>
      </rPr>
      <t>8x4 MU-MIMO,  4T SRS</t>
    </r>
  </si>
  <si>
    <r>
      <t>2</t>
    </r>
    <r>
      <rPr>
        <sz val="10"/>
        <rFont val="Arial"/>
        <family val="2"/>
      </rPr>
      <t>018.9.03</t>
    </r>
    <phoneticPr fontId="11" type="noConversion"/>
  </si>
  <si>
    <r>
      <t>Z</t>
    </r>
    <r>
      <rPr>
        <sz val="10"/>
        <rFont val="Arial"/>
        <family val="2"/>
      </rPr>
      <t>TE</t>
    </r>
    <phoneticPr fontId="11" type="noConversion"/>
  </si>
  <si>
    <r>
      <t>U</t>
    </r>
    <r>
      <rPr>
        <sz val="10"/>
        <rFont val="Arial"/>
        <family val="2"/>
      </rPr>
      <t>pdate UL results in model B</t>
    </r>
    <phoneticPr fontId="11" type="noConversion"/>
  </si>
  <si>
    <t>16x4 MU-MIMO,  Type II codebook</t>
    <phoneticPr fontId="11" type="noConversion"/>
  </si>
  <si>
    <t>2018.9.07</t>
  </si>
  <si>
    <t>Adjust formats</t>
    <phoneticPr fontId="11" type="noConversion"/>
  </si>
  <si>
    <r>
      <t>D</t>
    </r>
    <r>
      <rPr>
        <sz val="10"/>
        <rFont val="Arial"/>
        <family val="2"/>
      </rPr>
      <t>DDSU</t>
    </r>
    <phoneticPr fontId="11" type="noConversion"/>
  </si>
  <si>
    <r>
      <t>D</t>
    </r>
    <r>
      <rPr>
        <sz val="10"/>
        <rFont val="Arial"/>
        <family val="2"/>
      </rPr>
      <t>SUDD</t>
    </r>
    <phoneticPr fontId="11" type="noConversion"/>
  </si>
  <si>
    <t>2018.9.10</t>
  </si>
  <si>
    <t>Update the frame structure DDDSU and the overehead calculation for Ericsson. The SE results is also updated.</t>
    <phoneticPr fontId="11" type="noConversion"/>
  </si>
  <si>
    <t>30 kHz SCS,
14 OFDM symbol slot</t>
    <phoneticPr fontId="11" type="noConversion"/>
  </si>
  <si>
    <t xml:space="preserve">For 1Tx: Up to 1 layers
</t>
    <phoneticPr fontId="11" type="noConversion"/>
  </si>
  <si>
    <t xml:space="preserve">For 1T:  (M, N, P, Mg, Ng; Mp, Np) = (1,1,1,1,1; 1,1)
(dH, dV)=( N/A, N/A)λ;
</t>
    <phoneticPr fontId="11" type="noConversion"/>
  </si>
  <si>
    <t>CAICT</t>
    <phoneticPr fontId="11" type="noConversion"/>
  </si>
  <si>
    <t>Aligned with reference</t>
    <phoneticPr fontId="11" type="noConversion"/>
  </si>
  <si>
    <t xml:space="preserve">
For 2Tx: Up to 2 layers</t>
    <phoneticPr fontId="11" type="noConversion"/>
  </si>
  <si>
    <t xml:space="preserve">
For UE 2 Tx ports: Non-precoded SRS, 2 SRS ports (with 2 SRS resources),
2 symbols for SRS in every 5 slots;
8 PRBs per symbol</t>
    <phoneticPr fontId="11" type="noConversion"/>
  </si>
  <si>
    <t xml:space="preserve">
For 2T:  (M,N,P,Mg,Ng; Mp,Np)=  (1,1,2,1,1; 1,2)
(dH, dV)=( N/A, N/A)λ</t>
    <phoneticPr fontId="11" type="noConversion"/>
  </si>
  <si>
    <t xml:space="preserve">For 2Tx: NR 2Tx codebook
</t>
    <phoneticPr fontId="11" type="noConversion"/>
  </si>
  <si>
    <t>For 2Tx: Up to 2 layers</t>
    <phoneticPr fontId="11" type="noConversion"/>
  </si>
  <si>
    <t xml:space="preserve">For 2T:  (M,N,P,Mg,Ng; Mp,Np)=  (1,1,2,1,1; 1,2)
(dH, dV)=( N/A, N/A)λ
</t>
    <phoneticPr fontId="11" type="noConversion"/>
  </si>
  <si>
    <t xml:space="preserve">For 2T:  (M,N,P,Mg,Ng; Mp,Np)=  (1,1,2,1,1; 1,2)
(dH, dV)=( N/A, N/A)λ;
</t>
    <phoneticPr fontId="11" type="noConversion"/>
  </si>
  <si>
    <t>For UE 1 Tx ports: Non-precoded SRS, 1 SRS ports (with 1 SRS resources);
For UE 4 Tx ports: Non-precoded SRS, 4 SRS ports (with 4 SRS resources);
2 symbols for SRS in every 5 slots,
8 PRBs per symbol</t>
    <phoneticPr fontId="11" type="noConversion"/>
  </si>
  <si>
    <t>For UE 1 Tx ports: Non-precoded SRS, 1 SRS ports (with 1 SRS resources);
2 symbols for SRS in every 5 slots,
8 PRBs per symbol</t>
    <phoneticPr fontId="11" type="noConversion"/>
  </si>
  <si>
    <t>For UE 2 Tx ports: Non-precoded SRS, 2 SRS ports (with 2 SRS resources);
2 symbols for SRS in every 5 slots,
8 PRBs per symbol</t>
    <phoneticPr fontId="11" type="noConversion"/>
  </si>
  <si>
    <t>For UE 2 Tx ports: Non-precoded SRS, 2 SRS ports (with 2 SRS resources);
 2 symbols for SRS in every 5 slots,
8 PRBs per symbol</t>
    <phoneticPr fontId="11" type="noConversion"/>
  </si>
  <si>
    <t>CAICT</t>
    <phoneticPr fontId="42" type="noConversion"/>
  </si>
  <si>
    <t>CAICT</t>
    <phoneticPr fontId="42" type="noConversion"/>
  </si>
  <si>
    <t>CAICT</t>
    <phoneticPr fontId="42" type="noConversion"/>
  </si>
  <si>
    <t xml:space="preserve">2 slots with (3 PRB, 14 OS) and 8 slots with (1 PRB, 2 OS) </t>
    <phoneticPr fontId="42" type="noConversion"/>
  </si>
  <si>
    <t>1 slot with (3 PRB, 14 OS)</t>
    <phoneticPr fontId="42" type="noConversion"/>
  </si>
  <si>
    <t>Type II, 2  symbols</t>
    <phoneticPr fontId="42" type="noConversion"/>
  </si>
  <si>
    <t>2 symbols per 5 slots</t>
    <phoneticPr fontId="42" type="noConversion"/>
  </si>
  <si>
    <t>2 symbols per 5 slots</t>
    <phoneticPr fontId="42" type="noConversion"/>
  </si>
  <si>
    <t>NR FDD</t>
    <phoneticPr fontId="42" type="noConversion"/>
  </si>
  <si>
    <t>NR TDD</t>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</si>
</sst>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_ "/>
    <numFmt numFmtId="165" formatCode="0.000_);[Red]\(0.000\)"/>
    <numFmt numFmtId="166" formatCode="0.000"/>
    <numFmt numFmtId="167" formatCode="0.00_ "/>
    <numFmt numFmtId="168" formatCode="0.000_ "/>
  </numFmts>
  <fonts count="45">
    <font>
      <sz val="10"/>
      <name val="Arial"/>
      <charset val="134"/>
    </font>
    <font>
      <sz val="10"/>
      <color rgb="FFFF0000"/>
      <name val="Arial"/>
      <family val="2"/>
    </font>
    <font>
      <b/>
      <sz val="10"/>
      <name val="Arial"/>
      <family val="2"/>
    </font>
    <font>
      <sz val="10"/>
      <color theme="1"/>
      <name val="Arial"/>
      <family val="2"/>
    </font>
    <font>
      <sz val="10"/>
      <color rgb="FF0000FF"/>
      <name val="Arial"/>
      <family val="2"/>
    </font>
    <font>
      <sz val="10"/>
      <color rgb="FFC00000"/>
      <name val="Arial"/>
      <family val="2"/>
    </font>
    <font>
      <b/>
      <sz val="11"/>
      <color theme="1"/>
      <name val="Calibri"/>
      <family val="3"/>
      <charset val="134"/>
      <scheme val="minor"/>
    </font>
    <font>
      <sz val="11"/>
      <color theme="1"/>
      <name val="Calibri"/>
      <family val="3"/>
      <charset val="134"/>
      <scheme val="minor"/>
    </font>
    <font>
      <sz val="11"/>
      <color theme="1"/>
      <name val="Calibri"/>
      <family val="3"/>
      <charset val="134"/>
      <scheme val="minor"/>
    </font>
    <font>
      <sz val="11"/>
      <color rgb="FFC00000"/>
      <name val="Arial"/>
      <family val="2"/>
    </font>
    <font>
      <sz val="12"/>
      <name val="宋体"/>
      <family val="3"/>
      <charset val="134"/>
    </font>
    <font>
      <sz val="9"/>
      <name val="Arial"/>
      <family val="2"/>
    </font>
    <font>
      <b/>
      <sz val="9"/>
      <color rgb="FF0000FF"/>
      <name val="Arial"/>
      <family val="2"/>
    </font>
    <font>
      <b/>
      <sz val="11"/>
      <color rgb="FFFF0000"/>
      <name val="Arial"/>
      <family val="2"/>
    </font>
    <font>
      <sz val="9"/>
      <color theme="1"/>
      <name val="Arial"/>
      <family val="2"/>
    </font>
    <font>
      <b/>
      <sz val="9"/>
      <color rgb="FFFF0000"/>
      <name val="Arial"/>
      <family val="2"/>
    </font>
    <font>
      <sz val="9"/>
      <name val="Arial"/>
      <family val="2"/>
    </font>
    <font>
      <sz val="9"/>
      <color rgb="FF000000"/>
      <name val="Arial"/>
      <family val="2"/>
    </font>
    <font>
      <sz val="10"/>
      <name val="Times New Roman"/>
      <family val="1"/>
    </font>
    <font>
      <sz val="11"/>
      <color theme="0"/>
      <name val="Calibri"/>
      <family val="3"/>
      <charset val="134"/>
      <scheme val="minor"/>
    </font>
    <font>
      <b/>
      <sz val="11"/>
      <color theme="0"/>
      <name val="Calibri"/>
      <family val="3"/>
      <charset val="134"/>
      <scheme val="minor"/>
    </font>
    <font>
      <i/>
      <sz val="11"/>
      <color rgb="FF7F7F7F"/>
      <name val="Calibri"/>
      <family val="3"/>
      <charset val="134"/>
      <scheme val="minor"/>
    </font>
    <font>
      <sz val="12"/>
      <color theme="1"/>
      <name val="Calibri"/>
      <family val="3"/>
      <charset val="134"/>
      <scheme val="minor"/>
    </font>
    <font>
      <b/>
      <sz val="18"/>
      <color theme="3"/>
      <name val="Cambria"/>
      <family val="3"/>
      <charset val="134"/>
      <scheme val="major"/>
    </font>
    <font>
      <b/>
      <sz val="11"/>
      <color theme="3"/>
      <name val="Calibri"/>
      <family val="3"/>
      <charset val="134"/>
      <scheme val="minor"/>
    </font>
    <font>
      <b/>
      <sz val="11"/>
      <color rgb="FF3F3F3F"/>
      <name val="Calibri"/>
      <family val="3"/>
      <charset val="134"/>
      <scheme val="minor"/>
    </font>
    <font>
      <b/>
      <sz val="13"/>
      <color theme="3"/>
      <name val="Calibri"/>
      <family val="3"/>
      <charset val="134"/>
      <scheme val="minor"/>
    </font>
    <font>
      <sz val="11"/>
      <color rgb="FFFF0000"/>
      <name val="Calibri"/>
      <family val="3"/>
      <charset val="134"/>
      <scheme val="minor"/>
    </font>
    <font>
      <sz val="11"/>
      <color rgb="FF3F3F76"/>
      <name val="Calibri"/>
      <family val="3"/>
      <charset val="134"/>
      <scheme val="minor"/>
    </font>
    <font>
      <sz val="11"/>
      <color rgb="FF9C6500"/>
      <name val="Calibri"/>
      <family val="3"/>
      <charset val="134"/>
      <scheme val="minor"/>
    </font>
    <font>
      <sz val="11"/>
      <color rgb="FFFA7D00"/>
      <name val="Calibri"/>
      <family val="3"/>
      <charset val="134"/>
      <scheme val="minor"/>
    </font>
    <font>
      <sz val="11"/>
      <color rgb="FF9C0006"/>
      <name val="Calibri"/>
      <family val="3"/>
      <charset val="134"/>
      <scheme val="minor"/>
    </font>
    <font>
      <b/>
      <sz val="11"/>
      <color rgb="FFFA7D00"/>
      <name val="Calibri"/>
      <family val="3"/>
      <charset val="134"/>
      <scheme val="minor"/>
    </font>
    <font>
      <sz val="11"/>
      <color rgb="FF006100"/>
      <name val="Calibri"/>
      <family val="3"/>
      <charset val="134"/>
      <scheme val="minor"/>
    </font>
    <font>
      <sz val="11"/>
      <color rgb="FF006100"/>
      <name val="Calibri"/>
      <family val="3"/>
      <charset val="134"/>
      <scheme val="minor"/>
    </font>
    <font>
      <b/>
      <sz val="15"/>
      <color theme="3"/>
      <name val="Calibri"/>
      <family val="3"/>
      <charset val="134"/>
      <scheme val="minor"/>
    </font>
    <font>
      <sz val="12"/>
      <color theme="1"/>
      <name val="Calibri"/>
      <family val="3"/>
      <charset val="134"/>
      <scheme val="minor"/>
    </font>
    <font>
      <sz val="10"/>
      <name val="Droid Sans"/>
      <family val="1"/>
    </font>
    <font>
      <sz val="12"/>
      <color rgb="FF000000"/>
      <name val="ＭＳ Ｐゴシック"/>
      <family val="2"/>
    </font>
    <font>
      <sz val="11"/>
      <color rgb="FF9C0006"/>
      <name val="Calibri"/>
      <family val="3"/>
      <charset val="134"/>
      <scheme val="minor"/>
    </font>
    <font>
      <sz val="11"/>
      <color rgb="FF000000"/>
      <name val="ＭＳ Ｐゴシック"/>
      <family val="2"/>
    </font>
    <font>
      <sz val="10"/>
      <name val="Arial"/>
      <family val="2"/>
    </font>
    <font>
      <sz val="9"/>
      <name val="宋体"/>
      <family val="3"/>
      <charset val="134"/>
    </font>
    <font>
      <sz val="11"/>
      <color theme="1"/>
      <name val="Arial"/>
      <family val="2"/>
    </font>
    <font>
      <sz val="9"/>
      <name val="Times New Roman"/>
      <family val="1"/>
    </font>
  </fonts>
  <fills count="38">
    <fill>
      <patternFill patternType="none"/>
    </fill>
    <fill>
      <patternFill patternType="gray125"/>
    </fill>
    <fill>
      <patternFill patternType="solid">
        <fgColor theme="9" tint="0.59999389629810485"/>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6" tint="0.79995117038483843"/>
        <bgColor indexed="64"/>
      </patternFill>
    </fill>
    <fill>
      <patternFill patternType="solid">
        <fgColor rgb="FFD8D8D8"/>
        <bgColor indexed="64"/>
      </patternFill>
    </fill>
    <fill>
      <patternFill patternType="solid">
        <fgColor theme="0" tint="-0.14993743705557422"/>
        <bgColor indexed="64"/>
      </patternFill>
    </fill>
    <fill>
      <patternFill patternType="solid">
        <fgColor theme="0"/>
        <bgColor indexed="64"/>
      </patternFill>
    </fill>
    <fill>
      <patternFill patternType="solid">
        <fgColor theme="8" tint="0.59999389629810485"/>
        <bgColor indexed="64"/>
      </patternFill>
    </fill>
    <fill>
      <patternFill patternType="solid">
        <fgColor theme="8"/>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6"/>
        <bgColor indexed="64"/>
      </patternFill>
    </fill>
    <fill>
      <patternFill patternType="solid">
        <fgColor theme="6" tint="0.39994506668294322"/>
        <bgColor indexed="64"/>
      </patternFill>
    </fill>
    <fill>
      <patternFill patternType="solid">
        <fgColor theme="5" tint="0.79995117038483843"/>
        <bgColor indexed="64"/>
      </patternFill>
    </fill>
    <fill>
      <patternFill patternType="solid">
        <fgColor theme="4" tint="0.39994506668294322"/>
        <bgColor indexed="64"/>
      </patternFill>
    </fill>
    <fill>
      <patternFill patternType="solid">
        <fgColor theme="5"/>
        <bgColor indexed="64"/>
      </patternFill>
    </fill>
    <fill>
      <patternFill patternType="solid">
        <fgColor theme="4" tint="0.79995117038483843"/>
        <bgColor indexed="64"/>
      </patternFill>
    </fill>
    <fill>
      <patternFill patternType="solid">
        <fgColor rgb="FFA5A5A5"/>
        <bgColor indexed="64"/>
      </patternFill>
    </fill>
    <fill>
      <patternFill patternType="solid">
        <fgColor theme="7" tint="0.59999389629810485"/>
        <bgColor indexed="64"/>
      </patternFill>
    </fill>
    <fill>
      <patternFill patternType="solid">
        <fgColor rgb="FFF2F2F2"/>
        <bgColor indexed="64"/>
      </patternFill>
    </fill>
    <fill>
      <patternFill patternType="solid">
        <fgColor theme="9" tint="0.79995117038483843"/>
        <bgColor indexed="64"/>
      </patternFill>
    </fill>
    <fill>
      <patternFill patternType="solid">
        <fgColor theme="9" tint="0.39994506668294322"/>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bgColor indexed="64"/>
      </patternFill>
    </fill>
    <fill>
      <patternFill patternType="solid">
        <fgColor rgb="FFFFFFCC"/>
        <bgColor indexed="64"/>
      </patternFill>
    </fill>
    <fill>
      <patternFill patternType="solid">
        <fgColor theme="5" tint="0.39994506668294322"/>
        <bgColor indexed="64"/>
      </patternFill>
    </fill>
    <fill>
      <patternFill patternType="solid">
        <fgColor theme="4"/>
        <bgColor indexed="64"/>
      </patternFill>
    </fill>
    <fill>
      <patternFill patternType="solid">
        <fgColor theme="7"/>
        <bgColor indexed="64"/>
      </patternFill>
    </fill>
    <fill>
      <patternFill patternType="solid">
        <fgColor theme="7" tint="0.39994506668294322"/>
        <bgColor indexed="64"/>
      </patternFill>
    </fill>
    <fill>
      <patternFill patternType="solid">
        <fgColor theme="9"/>
        <bgColor indexed="64"/>
      </patternFill>
    </fill>
    <fill>
      <patternFill patternType="solid">
        <fgColor theme="0" tint="-0.14999847407452621"/>
        <bgColor indexed="64"/>
      </patternFill>
    </fill>
  </fills>
  <borders count="21">
    <border>
      <left/>
      <right/>
      <top/>
      <bottom/>
      <diagonal/>
    </border>
    <border>
      <left/>
      <right/>
      <top/>
      <bottom style="medium">
        <color auto="1"/>
      </bottom>
      <diagonal/>
    </border>
    <border>
      <left/>
      <right/>
      <top style="medium">
        <color auto="1"/>
      </top>
      <bottom/>
      <diagonal/>
    </border>
    <border>
      <left/>
      <right/>
      <top style="thin">
        <color theme="4"/>
      </top>
      <bottom style="double">
        <color theme="4"/>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3999450666829432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s>
  <cellStyleXfs count="186">
    <xf numFmtId="0" fontId="0" fillId="0" borderId="0"/>
    <xf numFmtId="0" fontId="8" fillId="13" borderId="0" applyNumberFormat="0" applyBorder="0" applyAlignment="0" applyProtection="0"/>
    <xf numFmtId="0" fontId="7" fillId="10" borderId="0" applyNumberFormat="0" applyBorder="0" applyAlignment="0" applyProtection="0"/>
    <xf numFmtId="0" fontId="32" fillId="22" borderId="16" applyNumberFormat="0" applyAlignment="0" applyProtection="0">
      <alignment vertical="center"/>
    </xf>
    <xf numFmtId="0" fontId="34" fillId="30" borderId="0" applyNumberFormat="0" applyBorder="0" applyAlignment="0" applyProtection="0"/>
    <xf numFmtId="0" fontId="7" fillId="6" borderId="0" applyNumberFormat="0" applyBorder="0" applyAlignment="0" applyProtection="0"/>
    <xf numFmtId="0" fontId="7" fillId="16" borderId="0" applyNumberFormat="0" applyBorder="0" applyAlignment="0" applyProtection="0">
      <alignment vertical="center"/>
    </xf>
    <xf numFmtId="0" fontId="7" fillId="16" borderId="0" applyNumberFormat="0" applyBorder="0" applyAlignment="0" applyProtection="0"/>
    <xf numFmtId="0" fontId="7" fillId="6" borderId="0" applyNumberFormat="0" applyBorder="0" applyAlignment="0" applyProtection="0"/>
    <xf numFmtId="0" fontId="7" fillId="31" borderId="19" applyNumberFormat="0" applyFont="0" applyAlignment="0" applyProtection="0"/>
    <xf numFmtId="0" fontId="7" fillId="21" borderId="0" applyNumberFormat="0" applyBorder="0" applyAlignment="0" applyProtection="0"/>
    <xf numFmtId="0" fontId="7" fillId="23" borderId="0" applyNumberFormat="0" applyBorder="0" applyAlignment="0" applyProtection="0"/>
    <xf numFmtId="0" fontId="7" fillId="16" borderId="0" applyNumberFormat="0" applyBorder="0" applyAlignment="0" applyProtection="0">
      <alignment vertical="center"/>
    </xf>
    <xf numFmtId="0" fontId="7" fillId="16" borderId="0" applyNumberFormat="0" applyBorder="0" applyAlignment="0" applyProtection="0"/>
    <xf numFmtId="0" fontId="6" fillId="0" borderId="3" applyNumberFormat="0" applyFill="0" applyAlignment="0" applyProtection="0"/>
    <xf numFmtId="0" fontId="7" fillId="6" borderId="0" applyNumberFormat="0" applyBorder="0" applyAlignment="0" applyProtection="0">
      <alignment vertical="center"/>
    </xf>
    <xf numFmtId="0" fontId="7" fillId="6" borderId="0" applyNumberFormat="0" applyBorder="0" applyAlignment="0" applyProtection="0"/>
    <xf numFmtId="0" fontId="7" fillId="19" borderId="0" applyNumberFormat="0" applyBorder="0" applyAlignment="0" applyProtection="0"/>
    <xf numFmtId="0" fontId="8" fillId="0" borderId="0"/>
    <xf numFmtId="0" fontId="7" fillId="2" borderId="0" applyNumberFormat="0" applyBorder="0" applyAlignment="0" applyProtection="0"/>
    <xf numFmtId="0" fontId="7" fillId="13" borderId="0" applyNumberFormat="0" applyBorder="0" applyAlignment="0" applyProtection="0"/>
    <xf numFmtId="0" fontId="8" fillId="6" borderId="0" applyNumberFormat="0" applyBorder="0" applyAlignment="0" applyProtection="0"/>
    <xf numFmtId="0" fontId="7" fillId="21" borderId="0" applyNumberFormat="0" applyBorder="0" applyAlignment="0" applyProtection="0">
      <alignment vertical="center"/>
    </xf>
    <xf numFmtId="0" fontId="25" fillId="22" borderId="14" applyNumberFormat="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xf numFmtId="0" fontId="29" fillId="2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xf numFmtId="0" fontId="7" fillId="29" borderId="0" applyNumberFormat="0" applyBorder="0" applyAlignment="0" applyProtection="0"/>
    <xf numFmtId="0" fontId="8" fillId="16" borderId="0" applyNumberFormat="0" applyBorder="0" applyAlignment="0" applyProtection="0"/>
    <xf numFmtId="0" fontId="7" fillId="19" borderId="0" applyNumberFormat="0" applyBorder="0" applyAlignment="0" applyProtection="0">
      <alignment vertical="center"/>
    </xf>
    <xf numFmtId="0" fontId="7" fillId="19" borderId="0" applyNumberFormat="0" applyBorder="0" applyAlignment="0" applyProtection="0"/>
    <xf numFmtId="0" fontId="8" fillId="19" borderId="0" applyNumberFormat="0" applyBorder="0" applyAlignment="0" applyProtection="0"/>
    <xf numFmtId="0" fontId="7" fillId="16" borderId="0" applyNumberFormat="0" applyBorder="0" applyAlignment="0" applyProtection="0"/>
    <xf numFmtId="0" fontId="19" fillId="17" borderId="0" applyNumberFormat="0" applyBorder="0" applyAlignment="0" applyProtection="0">
      <alignment vertical="center"/>
    </xf>
    <xf numFmtId="0" fontId="7" fillId="6" borderId="0" applyNumberFormat="0" applyBorder="0" applyAlignment="0" applyProtection="0"/>
    <xf numFmtId="0" fontId="37" fillId="0" borderId="0"/>
    <xf numFmtId="0" fontId="7" fillId="12" borderId="0" applyNumberFormat="0" applyBorder="0" applyAlignment="0" applyProtection="0">
      <alignment vertical="center"/>
    </xf>
    <xf numFmtId="0" fontId="7" fillId="12" borderId="0" applyNumberFormat="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xf numFmtId="0" fontId="7" fillId="0" borderId="0"/>
    <xf numFmtId="0" fontId="8" fillId="12" borderId="0" applyNumberFormat="0" applyBorder="0" applyAlignment="0" applyProtection="0"/>
    <xf numFmtId="0" fontId="19" fillId="32" borderId="0" applyNumberFormat="0" applyBorder="0" applyAlignment="0" applyProtection="0">
      <alignment vertical="center"/>
    </xf>
    <xf numFmtId="0" fontId="7" fillId="12" borderId="0" applyNumberFormat="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xf numFmtId="0" fontId="19" fillId="15" borderId="0" applyNumberFormat="0" applyBorder="0" applyAlignment="0" applyProtection="0">
      <alignment vertical="center"/>
    </xf>
    <xf numFmtId="0" fontId="7" fillId="13" borderId="0" applyNumberFormat="0" applyBorder="0" applyAlignment="0" applyProtection="0"/>
    <xf numFmtId="0" fontId="7" fillId="23" borderId="0" applyNumberFormat="0" applyBorder="0" applyAlignment="0" applyProtection="0">
      <alignment vertical="center"/>
    </xf>
    <xf numFmtId="0" fontId="7" fillId="23" borderId="0" applyNumberFormat="0" applyBorder="0" applyAlignment="0" applyProtection="0"/>
    <xf numFmtId="0" fontId="8" fillId="5" borderId="0" applyNumberFormat="0" applyBorder="0" applyAlignment="0" applyProtection="0"/>
    <xf numFmtId="0" fontId="7" fillId="23" borderId="0" applyNumberFormat="0" applyBorder="0" applyAlignment="0" applyProtection="0">
      <alignment vertical="center"/>
    </xf>
    <xf numFmtId="0" fontId="7" fillId="23" borderId="0" applyNumberFormat="0" applyBorder="0" applyAlignment="0" applyProtection="0"/>
    <xf numFmtId="0" fontId="8" fillId="23" borderId="0" applyNumberFormat="0" applyBorder="0" applyAlignment="0" applyProtection="0"/>
    <xf numFmtId="0" fontId="19" fillId="35" borderId="0" applyNumberFormat="0" applyBorder="0" applyAlignment="0" applyProtection="0">
      <alignment vertical="center"/>
    </xf>
    <xf numFmtId="0" fontId="7" fillId="23" borderId="0" applyNumberFormat="0" applyBorder="0" applyAlignment="0" applyProtection="0"/>
    <xf numFmtId="0" fontId="7" fillId="31" borderId="19" applyNumberFormat="0" applyFont="0" applyAlignment="0" applyProtection="0"/>
    <xf numFmtId="0" fontId="7" fillId="19" borderId="0" applyNumberFormat="0" applyBorder="0" applyAlignment="0" applyProtection="0"/>
    <xf numFmtId="0" fontId="7" fillId="19"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0" borderId="0"/>
    <xf numFmtId="0" fontId="7" fillId="19" borderId="0" applyNumberFormat="0" applyBorder="0" applyAlignment="0" applyProtection="0"/>
    <xf numFmtId="0" fontId="7" fillId="16" borderId="0" applyNumberFormat="0" applyBorder="0" applyAlignment="0" applyProtection="0"/>
    <xf numFmtId="0" fontId="7" fillId="6" borderId="0" applyNumberFormat="0" applyBorder="0" applyAlignment="0" applyProtection="0"/>
    <xf numFmtId="0" fontId="7" fillId="0" borderId="0">
      <alignment vertical="center"/>
    </xf>
    <xf numFmtId="0" fontId="7" fillId="12" borderId="0" applyNumberFormat="0" applyBorder="0" applyAlignment="0" applyProtection="0"/>
    <xf numFmtId="0" fontId="7" fillId="1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13"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8" fillId="28"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8" fillId="29"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8" fillId="21" borderId="0" applyNumberFormat="0" applyBorder="0" applyAlignment="0" applyProtection="0"/>
    <xf numFmtId="0" fontId="7" fillId="21"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10" borderId="0" applyNumberFormat="0" applyBorder="0" applyAlignment="0" applyProtection="0"/>
    <xf numFmtId="0" fontId="7" fillId="2" borderId="0" applyNumberFormat="0" applyBorder="0" applyAlignment="0" applyProtection="0"/>
    <xf numFmtId="0" fontId="8" fillId="0" borderId="0"/>
    <xf numFmtId="0" fontId="7" fillId="2" borderId="0" applyNumberFormat="0" applyBorder="0" applyAlignment="0" applyProtection="0"/>
    <xf numFmtId="0" fontId="22" fillId="0" borderId="0">
      <alignment vertical="center"/>
    </xf>
    <xf numFmtId="0" fontId="7" fillId="28" borderId="0" applyNumberFormat="0" applyBorder="0" applyAlignment="0" applyProtection="0"/>
    <xf numFmtId="0" fontId="22" fillId="0" borderId="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xf numFmtId="0" fontId="7" fillId="29" borderId="0" applyNumberFormat="0" applyBorder="0" applyAlignment="0" applyProtection="0">
      <alignment vertical="center"/>
    </xf>
    <xf numFmtId="0" fontId="7" fillId="29" borderId="0" applyNumberFormat="0" applyBorder="0" applyAlignment="0" applyProtection="0">
      <alignment vertical="center"/>
    </xf>
    <xf numFmtId="0" fontId="7" fillId="5" borderId="0" applyNumberFormat="0" applyBorder="0" applyAlignment="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21" borderId="0" applyNumberFormat="0" applyBorder="0" applyAlignment="0" applyProtection="0">
      <alignment vertical="center"/>
    </xf>
    <xf numFmtId="0" fontId="7" fillId="10" borderId="0" applyNumberFormat="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2" borderId="0" applyNumberFormat="0" applyBorder="0" applyAlignment="0" applyProtection="0"/>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19" fillId="3" borderId="0" applyNumberFormat="0" applyBorder="0" applyAlignment="0" applyProtection="0">
      <alignment vertical="center"/>
    </xf>
    <xf numFmtId="0" fontId="19" fillId="24" borderId="0" applyNumberFormat="0" applyBorder="0" applyAlignment="0" applyProtection="0">
      <alignment vertical="center"/>
    </xf>
    <xf numFmtId="0" fontId="7" fillId="31" borderId="19" applyNumberFormat="0" applyFont="0" applyAlignment="0" applyProtection="0"/>
    <xf numFmtId="0" fontId="7" fillId="31" borderId="19" applyNumberFormat="0" applyFont="0" applyAlignment="0" applyProtection="0"/>
    <xf numFmtId="0" fontId="7" fillId="0" borderId="0"/>
    <xf numFmtId="0"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41" fillId="0" borderId="0"/>
    <xf numFmtId="0" fontId="7"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8" fillId="0" borderId="0"/>
    <xf numFmtId="0" fontId="38" fillId="0" borderId="0">
      <alignment vertical="center"/>
    </xf>
    <xf numFmtId="0" fontId="40" fillId="0" borderId="0">
      <alignment vertical="center"/>
    </xf>
    <xf numFmtId="0" fontId="35" fillId="0" borderId="20" applyNumberFormat="0" applyFill="0" applyAlignment="0" applyProtection="0">
      <alignment vertical="center"/>
    </xf>
    <xf numFmtId="0" fontId="26" fillId="0" borderId="15"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27" borderId="0" applyNumberFormat="0" applyBorder="0" applyAlignment="0" applyProtection="0">
      <alignment vertical="center"/>
    </xf>
    <xf numFmtId="0" fontId="39" fillId="27" borderId="0" applyNumberFormat="0" applyBorder="0" applyAlignment="0" applyProtection="0"/>
    <xf numFmtId="0" fontId="10" fillId="0" borderId="0">
      <alignment vertical="center"/>
    </xf>
    <xf numFmtId="0" fontId="7" fillId="0" borderId="0">
      <alignment vertical="center"/>
    </xf>
    <xf numFmtId="0" fontId="33" fillId="30" borderId="0" applyNumberFormat="0" applyBorder="0" applyAlignment="0" applyProtection="0">
      <alignment vertical="center"/>
    </xf>
    <xf numFmtId="0" fontId="6" fillId="0" borderId="3" applyNumberFormat="0" applyFill="0" applyAlignment="0" applyProtection="0">
      <alignment vertical="center"/>
    </xf>
    <xf numFmtId="0" fontId="20" fillId="20" borderId="13" applyNumberFormat="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17" applyNumberFormat="0" applyFill="0" applyAlignment="0" applyProtection="0">
      <alignment vertical="center"/>
    </xf>
    <xf numFmtId="0" fontId="19" fillId="33"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34" borderId="0" applyNumberFormat="0" applyBorder="0" applyAlignment="0" applyProtection="0">
      <alignment vertical="center"/>
    </xf>
    <xf numFmtId="0" fontId="19" fillId="11" borderId="0" applyNumberFormat="0" applyBorder="0" applyAlignment="0" applyProtection="0">
      <alignment vertical="center"/>
    </xf>
    <xf numFmtId="0" fontId="19" fillId="36" borderId="0" applyNumberFormat="0" applyBorder="0" applyAlignment="0" applyProtection="0">
      <alignment vertical="center"/>
    </xf>
    <xf numFmtId="0" fontId="28" fillId="25" borderId="16" applyNumberFormat="0" applyAlignment="0" applyProtection="0">
      <alignment vertical="center"/>
    </xf>
    <xf numFmtId="0" fontId="22" fillId="0" borderId="0">
      <alignment vertical="center"/>
    </xf>
    <xf numFmtId="0" fontId="22" fillId="0" borderId="0">
      <alignment vertical="center"/>
    </xf>
    <xf numFmtId="0" fontId="36" fillId="0" borderId="0">
      <alignment vertical="center"/>
    </xf>
    <xf numFmtId="0" fontId="7" fillId="31" borderId="19" applyNumberFormat="0" applyFont="0" applyAlignment="0" applyProtection="0">
      <alignment vertical="center"/>
    </xf>
    <xf numFmtId="0" fontId="7" fillId="31" borderId="19" applyNumberFormat="0" applyFont="0" applyAlignment="0" applyProtection="0">
      <alignment vertical="center"/>
    </xf>
  </cellStyleXfs>
  <cellXfs count="248">
    <xf numFmtId="0" fontId="0" fillId="0" borderId="0" xfId="0"/>
    <xf numFmtId="0" fontId="0" fillId="0" borderId="1" xfId="0" applyFont="1" applyFill="1" applyBorder="1" applyAlignment="1">
      <alignment vertical="center" wrapText="1"/>
    </xf>
    <xf numFmtId="165"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167" fontId="0" fillId="0" borderId="0" xfId="0" applyNumberFormat="1" applyFont="1" applyFill="1" applyBorder="1" applyAlignment="1">
      <alignment vertical="center" wrapText="1"/>
    </xf>
    <xf numFmtId="0" fontId="1"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0" fillId="4" borderId="0" xfId="0" applyFont="1" applyFill="1" applyBorder="1" applyAlignment="1">
      <alignment vertical="center" wrapText="1"/>
    </xf>
    <xf numFmtId="0" fontId="0" fillId="2" borderId="0" xfId="0" applyFont="1" applyFill="1" applyBorder="1" applyAlignment="1">
      <alignment vertical="center" wrapText="1"/>
    </xf>
    <xf numFmtId="0" fontId="0" fillId="3" borderId="0" xfId="0" applyFont="1" applyFill="1" applyBorder="1" applyAlignment="1">
      <alignment vertical="center" wrapText="1"/>
    </xf>
    <xf numFmtId="165" fontId="0" fillId="0" borderId="1" xfId="0" applyNumberFormat="1" applyFont="1" applyFill="1" applyBorder="1" applyAlignment="1">
      <alignment horizontal="right" vertical="center" wrapText="1"/>
    </xf>
    <xf numFmtId="165" fontId="0" fillId="0" borderId="1" xfId="0" applyNumberFormat="1" applyFont="1" applyFill="1" applyBorder="1" applyAlignment="1">
      <alignment vertical="center" wrapText="1"/>
    </xf>
    <xf numFmtId="165" fontId="0" fillId="3" borderId="0" xfId="0" applyNumberFormat="1" applyFont="1" applyFill="1" applyBorder="1" applyAlignment="1">
      <alignment vertical="center" wrapText="1"/>
    </xf>
    <xf numFmtId="0" fontId="0" fillId="0" borderId="0" xfId="0" applyFont="1" applyAlignment="1">
      <alignment vertical="center"/>
    </xf>
    <xf numFmtId="165" fontId="3" fillId="0" borderId="0" xfId="75" applyNumberFormat="1" applyFont="1" applyFill="1" applyBorder="1" applyAlignment="1">
      <alignment vertical="center" wrapText="1"/>
    </xf>
    <xf numFmtId="165" fontId="3" fillId="0" borderId="0" xfId="167" applyNumberFormat="1" applyFont="1" applyFill="1" applyBorder="1" applyAlignment="1">
      <alignment vertical="center" wrapText="1"/>
    </xf>
    <xf numFmtId="165" fontId="0" fillId="4" borderId="0" xfId="0" applyNumberFormat="1" applyFont="1" applyFill="1" applyBorder="1" applyAlignment="1">
      <alignment vertical="center" wrapText="1"/>
    </xf>
    <xf numFmtId="165" fontId="3" fillId="4" borderId="0" xfId="75" applyNumberFormat="1" applyFont="1" applyFill="1" applyBorder="1" applyAlignment="1">
      <alignment vertical="center" wrapText="1"/>
    </xf>
    <xf numFmtId="165" fontId="3" fillId="4" borderId="0" xfId="167" applyNumberFormat="1" applyFont="1" applyFill="1" applyBorder="1" applyAlignment="1">
      <alignment vertical="center" wrapText="1"/>
    </xf>
    <xf numFmtId="165" fontId="0" fillId="0" borderId="1" xfId="0" applyNumberFormat="1" applyFont="1" applyFill="1" applyBorder="1" applyAlignment="1">
      <alignment horizontal="center" vertical="center" wrapText="1"/>
    </xf>
    <xf numFmtId="165" fontId="0" fillId="0" borderId="1" xfId="0" applyNumberFormat="1" applyFill="1" applyBorder="1" applyAlignment="1">
      <alignment horizontal="center" vertical="center" wrapText="1"/>
    </xf>
    <xf numFmtId="167" fontId="0" fillId="0" borderId="1" xfId="0" applyNumberFormat="1" applyFont="1" applyFill="1" applyBorder="1" applyAlignment="1">
      <alignment vertical="center" wrapText="1"/>
    </xf>
    <xf numFmtId="167" fontId="0" fillId="3" borderId="0" xfId="0" applyNumberFormat="1" applyFont="1" applyFill="1" applyBorder="1" applyAlignment="1">
      <alignment vertical="center" wrapText="1"/>
    </xf>
    <xf numFmtId="167" fontId="0" fillId="4" borderId="0" xfId="0" applyNumberFormat="1" applyFont="1" applyFill="1" applyBorder="1" applyAlignment="1">
      <alignment vertical="center" wrapText="1"/>
    </xf>
    <xf numFmtId="165" fontId="0" fillId="0" borderId="1" xfId="0" applyNumberFormat="1" applyFill="1" applyBorder="1" applyAlignment="1">
      <alignment horizontal="right" vertical="center" wrapText="1"/>
    </xf>
    <xf numFmtId="0" fontId="0" fillId="0" borderId="0" xfId="0" applyFill="1" applyBorder="1" applyAlignment="1">
      <alignment vertical="center" wrapText="1"/>
    </xf>
    <xf numFmtId="0" fontId="0" fillId="5" borderId="0" xfId="0" applyFont="1" applyFill="1" applyBorder="1" applyAlignment="1">
      <alignment horizontal="center" vertical="center" wrapText="1"/>
    </xf>
    <xf numFmtId="165" fontId="0" fillId="4" borderId="0" xfId="0" applyNumberFormat="1" applyFont="1" applyFill="1" applyBorder="1" applyAlignment="1">
      <alignment horizontal="right" vertical="center" wrapText="1"/>
    </xf>
    <xf numFmtId="0" fontId="0" fillId="0" borderId="0" xfId="0" applyFill="1" applyBorder="1" applyAlignment="1">
      <alignment horizontal="center" vertical="center" wrapText="1"/>
    </xf>
    <xf numFmtId="165" fontId="0" fillId="0" borderId="1" xfId="0" applyNumberFormat="1" applyFill="1" applyBorder="1" applyAlignment="1">
      <alignment vertical="center" wrapText="1"/>
    </xf>
    <xf numFmtId="165" fontId="4" fillId="0" borderId="0" xfId="0" applyNumberFormat="1" applyFont="1" applyFill="1" applyBorder="1" applyAlignment="1">
      <alignment vertical="center" wrapText="1"/>
    </xf>
    <xf numFmtId="165" fontId="4" fillId="4" borderId="0" xfId="0" applyNumberFormat="1" applyFont="1" applyFill="1" applyBorder="1" applyAlignment="1">
      <alignment vertical="center" wrapText="1"/>
    </xf>
    <xf numFmtId="0" fontId="3" fillId="0" borderId="0" xfId="0" applyFont="1" applyFill="1" applyBorder="1" applyAlignment="1">
      <alignment vertical="center" wrapText="1"/>
    </xf>
    <xf numFmtId="0" fontId="0" fillId="0" borderId="0" xfId="0" applyFont="1" applyBorder="1" applyAlignment="1">
      <alignment vertical="center"/>
    </xf>
    <xf numFmtId="165" fontId="0" fillId="4" borderId="0" xfId="0" applyNumberFormat="1" applyFill="1" applyBorder="1" applyAlignment="1">
      <alignment vertical="center" wrapText="1"/>
    </xf>
    <xf numFmtId="0" fontId="0" fillId="5" borderId="0" xfId="0" applyFont="1" applyFill="1" applyBorder="1" applyAlignment="1">
      <alignment vertical="center" wrapText="1"/>
    </xf>
    <xf numFmtId="0" fontId="0" fillId="0" borderId="0" xfId="0" applyFont="1" applyFill="1" applyAlignment="1">
      <alignment vertical="center"/>
    </xf>
    <xf numFmtId="0" fontId="0" fillId="0" borderId="0" xfId="0" applyFill="1"/>
    <xf numFmtId="0" fontId="0" fillId="0" borderId="0" xfId="0" applyAlignment="1">
      <alignment horizontal="center"/>
    </xf>
    <xf numFmtId="0" fontId="0" fillId="0" borderId="0" xfId="0" applyAlignment="1">
      <alignment horizontal="left"/>
    </xf>
    <xf numFmtId="0" fontId="6" fillId="0" borderId="0" xfId="0" applyFont="1" applyAlignment="1">
      <alignment horizontal="center"/>
    </xf>
    <xf numFmtId="0" fontId="6" fillId="0" borderId="3" xfId="14" applyAlignment="1">
      <alignment horizontal="center"/>
    </xf>
    <xf numFmtId="0" fontId="6" fillId="0" borderId="3" xfId="14" applyAlignment="1">
      <alignment horizontal="left"/>
    </xf>
    <xf numFmtId="0" fontId="7" fillId="0" borderId="0" xfId="20"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ont="1" applyFill="1" applyAlignment="1">
      <alignment horizontal="center"/>
    </xf>
    <xf numFmtId="0" fontId="0" fillId="0" borderId="0" xfId="20" applyFont="1" applyFill="1" applyAlignment="1">
      <alignment horizontal="center"/>
    </xf>
    <xf numFmtId="0" fontId="8" fillId="0" borderId="0" xfId="78" applyFont="1" applyFill="1" applyAlignment="1">
      <alignment horizontal="center"/>
    </xf>
    <xf numFmtId="0" fontId="0" fillId="0" borderId="0" xfId="78" applyFont="1" applyFill="1" applyAlignment="1">
      <alignment horizontal="left"/>
    </xf>
    <xf numFmtId="0" fontId="0" fillId="0" borderId="0" xfId="78" applyFont="1" applyFill="1" applyAlignment="1">
      <alignment horizontal="center"/>
    </xf>
    <xf numFmtId="0" fontId="0" fillId="0" borderId="0" xfId="11" applyFont="1" applyFill="1" applyAlignment="1">
      <alignment horizontal="center"/>
    </xf>
    <xf numFmtId="0" fontId="6" fillId="0" borderId="3" xfId="14" applyAlignment="1">
      <alignment horizontal="center" wrapText="1"/>
    </xf>
    <xf numFmtId="0" fontId="6" fillId="6" borderId="3" xfId="14" applyFill="1" applyAlignment="1">
      <alignment horizontal="center" wrapText="1"/>
    </xf>
    <xf numFmtId="168" fontId="0" fillId="0" borderId="0" xfId="0" applyNumberFormat="1" applyFill="1" applyAlignment="1">
      <alignment horizontal="center"/>
    </xf>
    <xf numFmtId="165" fontId="0" fillId="0" borderId="0" xfId="0" applyNumberFormat="1" applyFill="1" applyAlignment="1">
      <alignment horizontal="center"/>
    </xf>
    <xf numFmtId="165" fontId="0" fillId="0" borderId="0" xfId="0" applyNumberFormat="1" applyAlignment="1">
      <alignment horizontal="center"/>
    </xf>
    <xf numFmtId="0" fontId="8" fillId="0" borderId="0" xfId="77" applyFont="1" applyFill="1" applyAlignment="1">
      <alignment horizontal="center"/>
    </xf>
    <xf numFmtId="166" fontId="8" fillId="0" borderId="0" xfId="77" applyNumberFormat="1" applyFont="1" applyFill="1" applyAlignment="1">
      <alignment horizontal="center"/>
    </xf>
    <xf numFmtId="168" fontId="0" fillId="0" borderId="0" xfId="11" applyNumberFormat="1" applyFont="1" applyFill="1" applyAlignment="1">
      <alignment horizontal="center"/>
    </xf>
    <xf numFmtId="165" fontId="6" fillId="6" borderId="3" xfId="14" applyNumberFormat="1" applyFill="1" applyAlignment="1">
      <alignment horizontal="center" wrapText="1"/>
    </xf>
    <xf numFmtId="165" fontId="6" fillId="2" borderId="3" xfId="14" applyNumberFormat="1" applyFill="1" applyAlignment="1">
      <alignment horizontal="center" wrapText="1"/>
    </xf>
    <xf numFmtId="166" fontId="7" fillId="0" borderId="0" xfId="80" applyNumberFormat="1" applyFill="1" applyAlignment="1">
      <alignment horizontal="center"/>
    </xf>
    <xf numFmtId="168" fontId="0" fillId="0" borderId="0" xfId="0" applyNumberFormat="1" applyFill="1"/>
    <xf numFmtId="165" fontId="0" fillId="0" borderId="0" xfId="0" applyNumberFormat="1" applyFill="1" applyAlignment="1">
      <alignment horizontal="right"/>
    </xf>
    <xf numFmtId="165" fontId="0" fillId="0" borderId="0" xfId="0" applyNumberFormat="1"/>
    <xf numFmtId="0" fontId="6" fillId="0" borderId="0" xfId="0" applyFont="1"/>
    <xf numFmtId="10" fontId="0" fillId="0" borderId="0" xfId="0" applyNumberFormat="1" applyAlignment="1">
      <alignment horizontal="center"/>
    </xf>
    <xf numFmtId="165" fontId="7" fillId="0" borderId="0" xfId="20" applyNumberFormat="1" applyFill="1" applyAlignment="1">
      <alignment horizontal="center"/>
    </xf>
    <xf numFmtId="165" fontId="0" fillId="0" borderId="0" xfId="0" applyNumberFormat="1" applyFont="1" applyFill="1" applyAlignment="1">
      <alignment horizontal="center"/>
    </xf>
    <xf numFmtId="0" fontId="3" fillId="0" borderId="0" xfId="79" applyFont="1" applyFill="1" applyAlignment="1">
      <alignment horizontal="center"/>
    </xf>
    <xf numFmtId="164" fontId="0" fillId="0" borderId="0" xfId="0" applyNumberFormat="1" applyAlignment="1">
      <alignment horizontal="center"/>
    </xf>
    <xf numFmtId="0" fontId="0" fillId="0" borderId="0" xfId="11" applyFont="1" applyFill="1" applyAlignment="1">
      <alignment horizontal="left"/>
    </xf>
    <xf numFmtId="0" fontId="8" fillId="0" borderId="0" xfId="11" applyFont="1" applyFill="1" applyAlignment="1">
      <alignment horizontal="center"/>
    </xf>
    <xf numFmtId="0" fontId="0" fillId="0" borderId="0" xfId="0" applyFill="1" applyAlignment="1">
      <alignment horizontal="center" vertical="center"/>
    </xf>
    <xf numFmtId="0" fontId="0" fillId="0" borderId="0" xfId="0" applyFill="1" applyAlignment="1">
      <alignment horizontal="center" wrapText="1"/>
    </xf>
    <xf numFmtId="168" fontId="0" fillId="0" borderId="0" xfId="0" applyNumberFormat="1" applyAlignment="1">
      <alignment horizontal="center"/>
    </xf>
    <xf numFmtId="165" fontId="0" fillId="0" borderId="0" xfId="11" applyNumberFormat="1" applyFont="1" applyFill="1" applyAlignment="1">
      <alignment horizontal="center"/>
    </xf>
    <xf numFmtId="166" fontId="0" fillId="0" borderId="0" xfId="78" applyNumberFormat="1" applyFont="1" applyFill="1" applyAlignment="1">
      <alignment horizontal="center"/>
    </xf>
    <xf numFmtId="0" fontId="8" fillId="0" borderId="0" xfId="79" applyFont="1" applyFill="1" applyAlignment="1">
      <alignment horizontal="center"/>
    </xf>
    <xf numFmtId="0" fontId="10" fillId="0" borderId="0" xfId="166">
      <alignment vertical="center"/>
    </xf>
    <xf numFmtId="0" fontId="11" fillId="0" borderId="0" xfId="166" applyFont="1">
      <alignment vertical="center"/>
    </xf>
    <xf numFmtId="0" fontId="12" fillId="7" borderId="0" xfId="0" applyFont="1" applyFill="1" applyBorder="1" applyAlignment="1">
      <alignment horizontal="center" wrapText="1"/>
    </xf>
    <xf numFmtId="0" fontId="12" fillId="7" borderId="4" xfId="0" applyFont="1" applyFill="1" applyBorder="1" applyAlignment="1">
      <alignment horizontal="center" wrapText="1"/>
    </xf>
    <xf numFmtId="0" fontId="13" fillId="0" borderId="0" xfId="166" applyFont="1" applyAlignment="1">
      <alignment vertical="center" wrapText="1"/>
    </xf>
    <xf numFmtId="0" fontId="11" fillId="7" borderId="5" xfId="0" applyFont="1" applyFill="1" applyBorder="1" applyAlignment="1">
      <alignment horizontal="center" wrapText="1"/>
    </xf>
    <xf numFmtId="0" fontId="11" fillId="4" borderId="6" xfId="166" applyFont="1" applyFill="1" applyBorder="1" applyAlignment="1">
      <alignment horizontal="center" vertical="center"/>
    </xf>
    <xf numFmtId="0" fontId="11" fillId="4" borderId="5" xfId="166" applyFont="1" applyFill="1" applyBorder="1" applyAlignment="1">
      <alignment horizontal="center" vertical="center"/>
    </xf>
    <xf numFmtId="0" fontId="11" fillId="7" borderId="0" xfId="0" applyFont="1" applyFill="1" applyBorder="1" applyAlignment="1">
      <alignment horizontal="center" wrapText="1"/>
    </xf>
    <xf numFmtId="0" fontId="11" fillId="0" borderId="8" xfId="166" applyFont="1" applyFill="1" applyBorder="1" applyAlignment="1">
      <alignment vertical="center" wrapText="1"/>
    </xf>
    <xf numFmtId="0" fontId="0" fillId="0" borderId="5" xfId="0" applyBorder="1" applyAlignment="1">
      <alignment horizontal="justify" vertical="center" wrapText="1"/>
    </xf>
    <xf numFmtId="0" fontId="11" fillId="0" borderId="5" xfId="166" applyFont="1" applyBorder="1" applyAlignment="1">
      <alignment vertical="center" wrapText="1"/>
    </xf>
    <xf numFmtId="0" fontId="11" fillId="0" borderId="5" xfId="166" applyFont="1" applyFill="1" applyBorder="1" applyAlignment="1">
      <alignment vertical="center" wrapText="1"/>
    </xf>
    <xf numFmtId="0" fontId="11" fillId="0" borderId="5" xfId="166" applyFont="1" applyBorder="1">
      <alignment vertical="center"/>
    </xf>
    <xf numFmtId="0" fontId="10" fillId="0" borderId="5" xfId="166" applyBorder="1">
      <alignment vertical="center"/>
    </xf>
    <xf numFmtId="0" fontId="11" fillId="0" borderId="8" xfId="0" applyFont="1" applyFill="1" applyBorder="1" applyAlignment="1">
      <alignment wrapText="1"/>
    </xf>
    <xf numFmtId="0" fontId="11" fillId="0" borderId="5" xfId="0" applyFont="1" applyFill="1" applyBorder="1" applyAlignment="1">
      <alignment wrapText="1"/>
    </xf>
    <xf numFmtId="0" fontId="12" fillId="0" borderId="8" xfId="0" applyFont="1" applyFill="1" applyBorder="1" applyAlignment="1">
      <alignment horizontal="left" wrapText="1"/>
    </xf>
    <xf numFmtId="0" fontId="10" fillId="0" borderId="0" xfId="166" applyFill="1">
      <alignment vertical="center"/>
    </xf>
    <xf numFmtId="0" fontId="12" fillId="0" borderId="8" xfId="0" applyFont="1" applyFill="1" applyBorder="1" applyAlignment="1">
      <alignment horizontal="center" wrapText="1"/>
    </xf>
    <xf numFmtId="0" fontId="11" fillId="0" borderId="5" xfId="0" applyFont="1" applyFill="1" applyBorder="1" applyAlignment="1">
      <alignment horizontal="center" wrapText="1"/>
    </xf>
    <xf numFmtId="0" fontId="11" fillId="0" borderId="8" xfId="0" applyFont="1" applyFill="1" applyBorder="1" applyAlignment="1">
      <alignment vertical="top" wrapText="1"/>
    </xf>
    <xf numFmtId="0" fontId="11" fillId="0" borderId="5" xfId="0" applyFont="1" applyFill="1" applyBorder="1" applyAlignment="1">
      <alignment vertical="top" wrapText="1"/>
    </xf>
    <xf numFmtId="0" fontId="11" fillId="0" borderId="5" xfId="0" applyFont="1" applyFill="1" applyBorder="1" applyAlignment="1">
      <alignment horizontal="center" vertical="top" wrapText="1"/>
    </xf>
    <xf numFmtId="0" fontId="15" fillId="0" borderId="5" xfId="0" applyFont="1" applyFill="1" applyBorder="1" applyAlignment="1">
      <alignment horizontal="center" wrapText="1"/>
    </xf>
    <xf numFmtId="0" fontId="16" fillId="0" borderId="5" xfId="0" applyFont="1" applyFill="1" applyBorder="1" applyAlignment="1">
      <alignment wrapText="1"/>
    </xf>
    <xf numFmtId="0" fontId="17" fillId="0" borderId="5" xfId="0" applyFont="1" applyFill="1" applyBorder="1" applyAlignment="1">
      <alignment horizontal="center" wrapText="1"/>
    </xf>
    <xf numFmtId="0" fontId="11" fillId="4" borderId="5" xfId="166" applyFont="1" applyFill="1" applyBorder="1">
      <alignment vertical="center"/>
    </xf>
    <xf numFmtId="0" fontId="11" fillId="8" borderId="5" xfId="166" applyFont="1" applyFill="1" applyBorder="1" applyAlignment="1">
      <alignment horizontal="center" vertical="center"/>
    </xf>
    <xf numFmtId="0" fontId="11" fillId="0" borderId="5" xfId="166" applyFont="1" applyFill="1" applyBorder="1" applyAlignment="1">
      <alignment vertical="center"/>
    </xf>
    <xf numFmtId="0" fontId="0" fillId="0" borderId="6" xfId="139" applyFont="1" applyFill="1" applyBorder="1" applyAlignment="1">
      <alignment horizontal="justify" vertical="center" wrapText="1"/>
    </xf>
    <xf numFmtId="0" fontId="12" fillId="7" borderId="0" xfId="0" applyFont="1" applyFill="1" applyBorder="1" applyAlignment="1">
      <alignment wrapText="1"/>
    </xf>
    <xf numFmtId="0" fontId="12" fillId="7" borderId="4" xfId="0" applyFont="1" applyFill="1" applyBorder="1" applyAlignment="1">
      <alignment wrapText="1"/>
    </xf>
    <xf numFmtId="0" fontId="11" fillId="0" borderId="8" xfId="166" applyFont="1" applyBorder="1" applyAlignment="1">
      <alignment vertical="center" wrapText="1"/>
    </xf>
    <xf numFmtId="0" fontId="14" fillId="0" borderId="5" xfId="166" applyFont="1" applyBorder="1" applyAlignment="1">
      <alignment vertical="center" wrapText="1"/>
    </xf>
    <xf numFmtId="0" fontId="11" fillId="0" borderId="5" xfId="166" applyFont="1" applyFill="1" applyBorder="1">
      <alignment vertical="center"/>
    </xf>
    <xf numFmtId="0" fontId="11" fillId="0" borderId="0" xfId="166" applyFont="1" applyFill="1">
      <alignment vertical="center"/>
    </xf>
    <xf numFmtId="0" fontId="14" fillId="0" borderId="5" xfId="166" applyFont="1" applyFill="1" applyBorder="1" applyAlignment="1">
      <alignment vertical="center" wrapText="1"/>
    </xf>
    <xf numFmtId="0" fontId="18" fillId="0" borderId="5" xfId="42" applyFont="1" applyBorder="1" applyAlignment="1">
      <alignment vertical="center" wrapText="1"/>
    </xf>
    <xf numFmtId="0" fontId="11" fillId="0" borderId="0" xfId="166" applyFont="1" applyAlignment="1">
      <alignment horizontal="center" vertical="center"/>
    </xf>
    <xf numFmtId="0" fontId="11" fillId="0" borderId="5" xfId="166" applyFont="1" applyFill="1" applyBorder="1" applyAlignment="1">
      <alignment horizontal="center" vertical="center" wrapText="1"/>
    </xf>
    <xf numFmtId="0" fontId="14" fillId="0" borderId="5" xfId="166" applyFont="1" applyFill="1" applyBorder="1" applyAlignment="1">
      <alignment horizontal="center" vertical="center" wrapText="1"/>
    </xf>
    <xf numFmtId="0" fontId="11" fillId="0" borderId="5" xfId="166" applyFont="1" applyFill="1" applyBorder="1" applyAlignment="1">
      <alignment horizontal="center" vertical="center"/>
    </xf>
    <xf numFmtId="0" fontId="18" fillId="0" borderId="5" xfId="42" applyFont="1" applyBorder="1" applyAlignment="1">
      <alignment horizontal="left" vertical="center" wrapText="1"/>
    </xf>
    <xf numFmtId="0" fontId="11" fillId="9" borderId="5" xfId="166" applyFont="1" applyFill="1" applyBorder="1" applyAlignment="1">
      <alignment horizontal="center" vertical="center"/>
    </xf>
    <xf numFmtId="0" fontId="0" fillId="0" borderId="0" xfId="166" applyFont="1">
      <alignment vertical="center"/>
    </xf>
    <xf numFmtId="0" fontId="11" fillId="0" borderId="0" xfId="166" applyFont="1" applyAlignment="1">
      <alignment horizontal="left" vertical="center" wrapText="1"/>
    </xf>
    <xf numFmtId="0" fontId="12" fillId="7" borderId="5" xfId="0" applyFont="1" applyFill="1" applyBorder="1" applyAlignment="1">
      <alignment horizontal="center" wrapText="1"/>
    </xf>
    <xf numFmtId="0" fontId="12" fillId="4" borderId="6" xfId="166" applyFont="1" applyFill="1" applyBorder="1" applyAlignment="1">
      <alignment horizontal="left" vertical="center" wrapText="1"/>
    </xf>
    <xf numFmtId="0" fontId="12" fillId="4" borderId="8" xfId="166" applyFont="1" applyFill="1" applyBorder="1" applyAlignment="1">
      <alignment horizontal="left" vertical="center" wrapText="1"/>
    </xf>
    <xf numFmtId="0" fontId="11" fillId="0" borderId="5" xfId="166" applyFont="1" applyBorder="1" applyAlignment="1">
      <alignment vertical="center"/>
    </xf>
    <xf numFmtId="0" fontId="11" fillId="0" borderId="5" xfId="166" applyFont="1" applyBorder="1" applyAlignment="1">
      <alignment horizontal="left" vertical="center" wrapText="1"/>
    </xf>
    <xf numFmtId="0" fontId="18" fillId="0" borderId="0" xfId="0" applyFont="1"/>
    <xf numFmtId="0" fontId="14" fillId="0" borderId="5" xfId="0" applyFont="1" applyBorder="1" applyAlignment="1">
      <alignment horizontal="left" vertical="center" wrapText="1"/>
    </xf>
    <xf numFmtId="9" fontId="11" fillId="0" borderId="5" xfId="166" applyNumberFormat="1" applyFont="1" applyBorder="1" applyAlignment="1">
      <alignment horizontal="left" vertical="center"/>
    </xf>
    <xf numFmtId="0" fontId="11" fillId="0" borderId="5" xfId="0" applyFont="1" applyBorder="1" applyAlignment="1">
      <alignment horizontal="left" vertical="center" wrapText="1"/>
    </xf>
    <xf numFmtId="0" fontId="11" fillId="0" borderId="5" xfId="166" applyFont="1" applyFill="1" applyBorder="1" applyAlignment="1">
      <alignment horizontal="left" vertical="center" wrapText="1"/>
    </xf>
    <xf numFmtId="0" fontId="0" fillId="0" borderId="5" xfId="166" applyFont="1" applyFill="1" applyBorder="1" applyAlignment="1">
      <alignment horizontal="left" vertical="center" wrapText="1"/>
    </xf>
    <xf numFmtId="0" fontId="11" fillId="0" borderId="5" xfId="0" applyFont="1" applyFill="1" applyBorder="1" applyAlignment="1">
      <alignment horizontal="left" wrapText="1"/>
    </xf>
    <xf numFmtId="0" fontId="11" fillId="0" borderId="5" xfId="0" applyFont="1" applyBorder="1" applyAlignment="1">
      <alignment horizontal="left" wrapText="1"/>
    </xf>
    <xf numFmtId="0" fontId="15" fillId="0" borderId="5" xfId="0" applyFont="1" applyFill="1" applyBorder="1" applyAlignment="1">
      <alignment horizontal="left" wrapText="1"/>
    </xf>
    <xf numFmtId="0" fontId="10" fillId="0" borderId="0" xfId="166" applyAlignment="1">
      <alignment horizontal="left" vertical="center"/>
    </xf>
    <xf numFmtId="0" fontId="11" fillId="0" borderId="0" xfId="166" applyFont="1" applyAlignment="1">
      <alignment horizontal="left" vertical="center"/>
    </xf>
    <xf numFmtId="0" fontId="12" fillId="4" borderId="6" xfId="166" applyFont="1" applyFill="1" applyBorder="1" applyAlignment="1">
      <alignment horizontal="center" vertical="center" wrapText="1"/>
    </xf>
    <xf numFmtId="0" fontId="11" fillId="9" borderId="5" xfId="166" applyFont="1" applyFill="1" applyBorder="1">
      <alignment vertical="center"/>
    </xf>
    <xf numFmtId="0" fontId="11" fillId="9" borderId="5" xfId="166" applyFont="1" applyFill="1" applyBorder="1" applyAlignment="1">
      <alignment vertical="center" wrapText="1"/>
    </xf>
    <xf numFmtId="0" fontId="11" fillId="9" borderId="5" xfId="166" applyFont="1" applyFill="1" applyBorder="1" applyAlignment="1">
      <alignment horizontal="center" vertical="center" wrapText="1"/>
    </xf>
    <xf numFmtId="0" fontId="14" fillId="0" borderId="5" xfId="166" applyFont="1" applyBorder="1">
      <alignment vertical="center"/>
    </xf>
    <xf numFmtId="0" fontId="0" fillId="0" borderId="5" xfId="0" applyFont="1" applyBorder="1" applyAlignment="1">
      <alignment horizontal="left" vertical="center" wrapText="1"/>
    </xf>
    <xf numFmtId="0" fontId="0" fillId="0" borderId="5" xfId="0" applyBorder="1" applyAlignment="1">
      <alignment horizontal="left" vertical="center" wrapText="1"/>
    </xf>
    <xf numFmtId="0" fontId="14" fillId="0" borderId="5" xfId="166" applyFont="1" applyFill="1" applyBorder="1" applyAlignment="1">
      <alignment horizontal="left" vertical="center" wrapText="1"/>
    </xf>
    <xf numFmtId="0" fontId="11" fillId="0" borderId="5" xfId="166" applyFont="1" applyBorder="1" applyAlignment="1">
      <alignment horizontal="left" vertical="center"/>
    </xf>
    <xf numFmtId="0" fontId="11" fillId="9" borderId="5" xfId="166" applyFont="1" applyFill="1" applyBorder="1" applyAlignment="1">
      <alignment horizontal="left" vertical="center"/>
    </xf>
    <xf numFmtId="0" fontId="11" fillId="9" borderId="5" xfId="0" applyFont="1" applyFill="1" applyBorder="1" applyAlignment="1">
      <alignment horizontal="left" wrapText="1"/>
    </xf>
    <xf numFmtId="0" fontId="11" fillId="9" borderId="5" xfId="0" applyFont="1" applyFill="1" applyBorder="1" applyAlignment="1">
      <alignment horizontal="left" vertical="center" wrapText="1"/>
    </xf>
    <xf numFmtId="0" fontId="0" fillId="0" borderId="5" xfId="0" applyBorder="1" applyAlignment="1">
      <alignment vertical="center" wrapText="1"/>
    </xf>
    <xf numFmtId="0" fontId="0" fillId="0" borderId="5" xfId="0" applyFont="1" applyBorder="1" applyAlignment="1">
      <alignment vertical="center" wrapText="1"/>
    </xf>
    <xf numFmtId="0" fontId="11" fillId="0" borderId="5" xfId="0" applyFont="1" applyBorder="1" applyAlignment="1">
      <alignment vertical="center" wrapText="1"/>
    </xf>
    <xf numFmtId="0" fontId="0" fillId="0" borderId="5" xfId="166" applyFont="1" applyBorder="1" applyAlignment="1">
      <alignment horizontal="left" vertical="center" wrapText="1"/>
    </xf>
    <xf numFmtId="0" fontId="11" fillId="0" borderId="11" xfId="166" applyFont="1" applyBorder="1" applyAlignment="1">
      <alignment horizontal="left" vertical="center" wrapText="1"/>
    </xf>
    <xf numFmtId="0" fontId="11" fillId="9" borderId="5" xfId="166" applyFont="1" applyFill="1" applyBorder="1" applyAlignment="1">
      <alignment horizontal="left" vertical="center" wrapText="1"/>
    </xf>
    <xf numFmtId="0" fontId="12" fillId="4" borderId="8" xfId="166" applyFont="1" applyFill="1" applyBorder="1" applyAlignment="1">
      <alignment horizontal="center" vertical="center" wrapText="1"/>
    </xf>
    <xf numFmtId="0" fontId="11" fillId="0" borderId="5" xfId="0" applyFont="1" applyFill="1" applyBorder="1" applyAlignment="1">
      <alignment horizontal="center" vertical="center" wrapText="1"/>
    </xf>
    <xf numFmtId="0" fontId="18" fillId="0" borderId="0" xfId="0" applyFont="1" applyAlignment="1">
      <alignment horizontal="center" vertical="center"/>
    </xf>
    <xf numFmtId="0" fontId="11" fillId="0" borderId="5" xfId="166" applyFont="1" applyBorder="1" applyAlignment="1">
      <alignment horizontal="center" vertical="center" wrapText="1"/>
    </xf>
    <xf numFmtId="0" fontId="11" fillId="0" borderId="5" xfId="0" applyFont="1" applyBorder="1" applyAlignment="1">
      <alignment horizontal="center" wrapText="1"/>
    </xf>
    <xf numFmtId="0" fontId="0" fillId="0" borderId="5" xfId="166" applyFont="1" applyBorder="1" applyAlignment="1">
      <alignment vertical="center" wrapText="1"/>
    </xf>
    <xf numFmtId="0" fontId="11" fillId="7" borderId="5" xfId="0" applyFont="1" applyFill="1" applyBorder="1" applyAlignment="1">
      <alignment horizontal="left" wrapText="1"/>
    </xf>
    <xf numFmtId="0" fontId="11" fillId="0" borderId="0" xfId="166" applyFont="1" applyFill="1" applyAlignment="1">
      <alignment horizontal="left" vertical="center" wrapText="1"/>
    </xf>
    <xf numFmtId="0" fontId="12" fillId="4" borderId="12" xfId="166" applyFont="1" applyFill="1" applyBorder="1" applyAlignment="1">
      <alignment horizontal="center" vertical="center" wrapText="1"/>
    </xf>
    <xf numFmtId="0" fontId="11" fillId="0" borderId="5" xfId="166" applyFont="1" applyFill="1" applyBorder="1" applyAlignment="1">
      <alignment horizontal="center" wrapText="1"/>
    </xf>
    <xf numFmtId="0" fontId="10" fillId="0" borderId="5" xfId="166" applyBorder="1" applyAlignment="1">
      <alignment horizontal="left" vertical="center"/>
    </xf>
    <xf numFmtId="0" fontId="10" fillId="0" borderId="0" xfId="166" applyAlignment="1">
      <alignment horizontal="center" vertical="center"/>
    </xf>
    <xf numFmtId="0" fontId="11" fillId="0" borderId="5" xfId="166" applyFont="1" applyBorder="1" applyAlignment="1">
      <alignment horizontal="center" vertical="center"/>
    </xf>
    <xf numFmtId="0" fontId="11" fillId="0" borderId="5" xfId="0" applyFont="1" applyBorder="1" applyAlignment="1">
      <alignment horizontal="center" vertical="center" wrapText="1"/>
    </xf>
    <xf numFmtId="14" fontId="0" fillId="0" borderId="0" xfId="0" applyNumberFormat="1" applyAlignment="1">
      <alignment horizontal="left"/>
    </xf>
    <xf numFmtId="14" fontId="0" fillId="0" borderId="0" xfId="0" applyNumberFormat="1"/>
    <xf numFmtId="0" fontId="0" fillId="0" borderId="0" xfId="0" applyAlignment="1">
      <alignment wrapText="1"/>
    </xf>
    <xf numFmtId="14" fontId="0" fillId="0" borderId="0" xfId="0" applyNumberFormat="1" applyFont="1"/>
    <xf numFmtId="0" fontId="0" fillId="0" borderId="0" xfId="0" applyFont="1" applyAlignment="1">
      <alignment horizontal="left"/>
    </xf>
    <xf numFmtId="0" fontId="0" fillId="0" borderId="0" xfId="0" applyFont="1"/>
    <xf numFmtId="0" fontId="0" fillId="0" borderId="0" xfId="0" applyFont="1" applyAlignment="1">
      <alignment wrapText="1"/>
    </xf>
    <xf numFmtId="14" fontId="41" fillId="0" borderId="0" xfId="0" applyNumberFormat="1" applyFont="1"/>
    <xf numFmtId="0" fontId="41" fillId="0" borderId="0" xfId="0" applyFont="1"/>
    <xf numFmtId="0" fontId="0" fillId="0" borderId="0" xfId="0" applyAlignment="1">
      <alignment horizontal="left"/>
    </xf>
    <xf numFmtId="0" fontId="41" fillId="0" borderId="0" xfId="0" applyFont="1" applyFill="1" applyBorder="1" applyAlignment="1">
      <alignment vertical="center" wrapText="1"/>
    </xf>
    <xf numFmtId="167" fontId="0" fillId="37" borderId="0" xfId="0" applyNumberFormat="1" applyFont="1" applyFill="1" applyBorder="1" applyAlignment="1">
      <alignment vertical="center" wrapText="1"/>
    </xf>
    <xf numFmtId="0" fontId="0" fillId="37" borderId="0" xfId="0" applyFont="1" applyFill="1" applyBorder="1" applyAlignment="1">
      <alignment vertical="center" wrapText="1"/>
    </xf>
    <xf numFmtId="0" fontId="41" fillId="0" borderId="0" xfId="0" applyFont="1" applyAlignment="1">
      <alignment wrapText="1"/>
    </xf>
    <xf numFmtId="0" fontId="0" fillId="0" borderId="0" xfId="0" applyAlignment="1">
      <alignment horizontal="left"/>
    </xf>
    <xf numFmtId="0" fontId="11" fillId="0" borderId="5" xfId="0" applyFont="1" applyFill="1" applyBorder="1" applyAlignment="1">
      <alignment horizontal="left" wrapText="1"/>
    </xf>
    <xf numFmtId="0" fontId="41" fillId="0" borderId="5" xfId="0" applyFont="1" applyBorder="1" applyAlignment="1">
      <alignment horizontal="left" vertical="center" wrapText="1"/>
    </xf>
    <xf numFmtId="0" fontId="41" fillId="0" borderId="5" xfId="166" applyFont="1" applyFill="1" applyBorder="1" applyAlignment="1">
      <alignment horizontal="left" vertical="center" wrapText="1"/>
    </xf>
    <xf numFmtId="0" fontId="0" fillId="0" borderId="0" xfId="0" applyFont="1" applyBorder="1" applyAlignment="1">
      <alignment horizontal="center"/>
    </xf>
    <xf numFmtId="0" fontId="0" fillId="0" borderId="0" xfId="0" applyFont="1" applyBorder="1" applyAlignment="1">
      <alignment horizontal="left"/>
    </xf>
    <xf numFmtId="0" fontId="0" fillId="0" borderId="0" xfId="0" applyFont="1" applyFill="1" applyBorder="1" applyAlignment="1">
      <alignment horizontal="center"/>
    </xf>
    <xf numFmtId="0" fontId="0" fillId="0" borderId="0" xfId="0" applyFont="1" applyBorder="1"/>
    <xf numFmtId="168" fontId="0" fillId="0" borderId="0" xfId="0" applyNumberFormat="1" applyFont="1" applyFill="1" applyBorder="1" applyAlignment="1">
      <alignment horizontal="center"/>
    </xf>
    <xf numFmtId="0" fontId="0" fillId="0" borderId="0" xfId="0" applyFont="1" applyFill="1"/>
    <xf numFmtId="166" fontId="43" fillId="0" borderId="0" xfId="80" applyNumberFormat="1" applyFont="1" applyFill="1" applyAlignment="1">
      <alignment horizontal="center"/>
    </xf>
    <xf numFmtId="165" fontId="0" fillId="0" borderId="0" xfId="0" applyNumberFormat="1" applyFont="1" applyAlignment="1">
      <alignment horizontal="center"/>
    </xf>
    <xf numFmtId="0" fontId="0" fillId="0" borderId="0" xfId="0" applyFont="1" applyAlignment="1">
      <alignment horizontal="center"/>
    </xf>
    <xf numFmtId="168" fontId="0" fillId="0" borderId="0" xfId="0" applyNumberFormat="1" applyFont="1" applyFill="1" applyAlignment="1">
      <alignment horizontal="right"/>
    </xf>
    <xf numFmtId="0" fontId="44" fillId="37" borderId="5" xfId="166" applyFont="1" applyFill="1" applyBorder="1" applyAlignment="1">
      <alignment horizontal="center" vertical="center"/>
    </xf>
    <xf numFmtId="165" fontId="41" fillId="4" borderId="0" xfId="0" applyNumberFormat="1" applyFont="1" applyFill="1" applyBorder="1" applyAlignment="1">
      <alignment vertical="center" wrapText="1"/>
    </xf>
    <xf numFmtId="165" fontId="41" fillId="0" borderId="0" xfId="0" applyNumberFormat="1" applyFont="1" applyFill="1" applyBorder="1" applyAlignment="1">
      <alignment vertical="center" wrapText="1"/>
    </xf>
    <xf numFmtId="165" fontId="41" fillId="3" borderId="0" xfId="0" applyNumberFormat="1" applyFont="1" applyFill="1" applyBorder="1" applyAlignment="1">
      <alignment vertical="center" wrapText="1"/>
    </xf>
    <xf numFmtId="0" fontId="11" fillId="0" borderId="5" xfId="0" applyFont="1" applyFill="1" applyBorder="1" applyAlignment="1">
      <alignment horizontal="left" wrapText="1"/>
    </xf>
    <xf numFmtId="0" fontId="11" fillId="0" borderId="5" xfId="0" applyFont="1" applyFill="1" applyBorder="1" applyAlignment="1">
      <alignment horizontal="center" wrapText="1"/>
    </xf>
    <xf numFmtId="0" fontId="11" fillId="4" borderId="6" xfId="166" applyFont="1" applyFill="1" applyBorder="1" applyAlignment="1">
      <alignment horizontal="center" vertical="center"/>
    </xf>
    <xf numFmtId="0" fontId="11" fillId="4" borderId="8" xfId="166" applyFont="1" applyFill="1" applyBorder="1" applyAlignment="1">
      <alignment horizontal="center" vertical="center"/>
    </xf>
    <xf numFmtId="0" fontId="11" fillId="0" borderId="5" xfId="0" applyFont="1" applyFill="1" applyBorder="1" applyAlignment="1">
      <alignment wrapText="1"/>
    </xf>
    <xf numFmtId="0" fontId="11" fillId="0" borderId="9" xfId="0" applyFont="1" applyFill="1" applyBorder="1" applyAlignment="1">
      <alignment horizontal="left" wrapText="1"/>
    </xf>
    <xf numFmtId="0" fontId="11" fillId="0" borderId="11" xfId="0" applyFont="1" applyFill="1" applyBorder="1" applyAlignment="1">
      <alignment horizontal="left" wrapText="1"/>
    </xf>
    <xf numFmtId="0" fontId="11" fillId="4" borderId="6" xfId="166" applyFont="1" applyFill="1" applyBorder="1" applyAlignment="1">
      <alignment horizontal="center" vertical="center" wrapText="1"/>
    </xf>
    <xf numFmtId="0" fontId="11" fillId="4" borderId="7" xfId="166" applyFont="1" applyFill="1" applyBorder="1" applyAlignment="1">
      <alignment horizontal="center" vertical="center" wrapText="1"/>
    </xf>
    <xf numFmtId="0" fontId="11" fillId="4" borderId="8" xfId="166" applyFont="1" applyFill="1" applyBorder="1" applyAlignment="1">
      <alignment horizontal="center" vertical="center" wrapText="1"/>
    </xf>
    <xf numFmtId="0" fontId="11" fillId="9" borderId="9" xfId="166" applyFont="1" applyFill="1" applyBorder="1" applyAlignment="1">
      <alignment horizontal="left" vertical="center"/>
    </xf>
    <xf numFmtId="0" fontId="11" fillId="9" borderId="11" xfId="166" applyFont="1" applyFill="1" applyBorder="1" applyAlignment="1">
      <alignment horizontal="left" vertical="center"/>
    </xf>
    <xf numFmtId="0" fontId="11" fillId="8" borderId="6" xfId="166" applyFont="1" applyFill="1" applyBorder="1" applyAlignment="1">
      <alignment horizontal="center" vertical="center"/>
    </xf>
    <xf numFmtId="0" fontId="11" fillId="8" borderId="8" xfId="166" applyFont="1" applyFill="1" applyBorder="1" applyAlignment="1">
      <alignment horizontal="center" vertical="center"/>
    </xf>
    <xf numFmtId="0" fontId="11" fillId="0" borderId="9" xfId="0" applyFont="1" applyFill="1" applyBorder="1" applyAlignment="1">
      <alignment horizontal="center" wrapText="1"/>
    </xf>
    <xf numFmtId="0" fontId="11" fillId="0" borderId="11" xfId="0" applyFont="1" applyFill="1" applyBorder="1" applyAlignment="1">
      <alignment horizontal="center" wrapText="1"/>
    </xf>
    <xf numFmtId="0" fontId="11" fillId="9" borderId="9" xfId="166" applyFont="1" applyFill="1" applyBorder="1" applyAlignment="1">
      <alignment horizontal="center" vertical="center"/>
    </xf>
    <xf numFmtId="0" fontId="11" fillId="9" borderId="11" xfId="166" applyFont="1" applyFill="1" applyBorder="1" applyAlignment="1">
      <alignment horizontal="center" vertical="center"/>
    </xf>
    <xf numFmtId="0" fontId="11" fillId="0" borderId="5" xfId="0" applyFont="1" applyFill="1" applyBorder="1" applyAlignment="1"/>
    <xf numFmtId="0" fontId="11" fillId="7" borderId="9" xfId="0" applyFont="1" applyFill="1" applyBorder="1" applyAlignment="1">
      <alignment horizontal="center" wrapText="1"/>
    </xf>
    <xf numFmtId="0" fontId="11" fillId="7" borderId="10" xfId="0" applyFont="1" applyFill="1" applyBorder="1" applyAlignment="1">
      <alignment horizontal="center" wrapText="1"/>
    </xf>
    <xf numFmtId="0" fontId="10" fillId="0" borderId="9" xfId="166" applyBorder="1" applyAlignment="1">
      <alignment horizontal="center" vertical="center"/>
    </xf>
    <xf numFmtId="0" fontId="10" fillId="0" borderId="10" xfId="166" applyBorder="1" applyAlignment="1">
      <alignment horizontal="center" vertical="center"/>
    </xf>
    <xf numFmtId="0" fontId="10" fillId="0" borderId="11" xfId="166" applyBorder="1" applyAlignment="1">
      <alignment horizontal="center" vertical="center"/>
    </xf>
    <xf numFmtId="0" fontId="11" fillId="0" borderId="8" xfId="0" applyFont="1" applyFill="1" applyBorder="1" applyAlignment="1">
      <alignment vertical="top" wrapText="1"/>
    </xf>
    <xf numFmtId="0" fontId="11" fillId="0" borderId="5" xfId="0" applyFont="1" applyFill="1" applyBorder="1" applyAlignment="1">
      <alignment vertical="top" wrapText="1"/>
    </xf>
    <xf numFmtId="0" fontId="12" fillId="7" borderId="0" xfId="0" applyFont="1" applyFill="1" applyBorder="1" applyAlignment="1">
      <alignment horizontal="center" wrapText="1"/>
    </xf>
    <xf numFmtId="0" fontId="12" fillId="7" borderId="4" xfId="0" applyFont="1" applyFill="1" applyBorder="1" applyAlignment="1">
      <alignment horizontal="center" wrapText="1"/>
    </xf>
    <xf numFmtId="0" fontId="11" fillId="4" borderId="7" xfId="166" applyFont="1" applyFill="1" applyBorder="1" applyAlignment="1">
      <alignment horizontal="center" vertical="center"/>
    </xf>
    <xf numFmtId="0" fontId="44" fillId="37" borderId="6" xfId="166" applyFont="1" applyFill="1" applyBorder="1" applyAlignment="1">
      <alignment horizontal="center" vertical="center"/>
    </xf>
    <xf numFmtId="0" fontId="44" fillId="37" borderId="8" xfId="166" applyFont="1" applyFill="1" applyBorder="1" applyAlignment="1">
      <alignment horizontal="center" vertical="center"/>
    </xf>
    <xf numFmtId="0" fontId="9" fillId="0" borderId="0" xfId="0" applyFont="1" applyAlignment="1">
      <alignment horizontal="left" wrapText="1"/>
    </xf>
    <xf numFmtId="0" fontId="0" fillId="0" borderId="0" xfId="0" applyAlignment="1">
      <alignment horizontal="left"/>
    </xf>
    <xf numFmtId="0" fontId="0" fillId="5"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2" borderId="0" xfId="0" applyFont="1" applyFill="1" applyBorder="1" applyAlignment="1">
      <alignment horizontal="center" vertical="center" wrapText="1"/>
    </xf>
    <xf numFmtId="0" fontId="0" fillId="2" borderId="2" xfId="0" applyFont="1" applyFill="1" applyBorder="1" applyAlignment="1">
      <alignment horizontal="center" vertical="center" wrapText="1"/>
    </xf>
  </cellXfs>
  <cellStyles count="186">
    <cellStyle name="20% - Accent1 2" xfId="25"/>
    <cellStyle name="20% - Accent1 2 2" xfId="32"/>
    <cellStyle name="20% - Accent1 2_UMi-70GHz" xfId="33"/>
    <cellStyle name="20% - Accent1 3" xfId="17"/>
    <cellStyle name="20% - Accent2 2" xfId="13"/>
    <cellStyle name="20% - Accent2 2 2" xfId="7"/>
    <cellStyle name="20% - Accent2 2_UMi-70GHz" xfId="30"/>
    <cellStyle name="20% - Accent2 3" xfId="34"/>
    <cellStyle name="20% - Accent3 2" xfId="16"/>
    <cellStyle name="20% - Accent3 2 2" xfId="28"/>
    <cellStyle name="20% - Accent3 2_UMi-70GHz" xfId="21"/>
    <cellStyle name="20% - Accent3 3" xfId="36"/>
    <cellStyle name="20% - Accent4 2" xfId="39"/>
    <cellStyle name="20% - Accent4 2 2" xfId="41"/>
    <cellStyle name="20% - Accent4 2_UMi-70GHz" xfId="43"/>
    <cellStyle name="20% - Accent4 3" xfId="45"/>
    <cellStyle name="20% - Accent5" xfId="20" builtinId="46"/>
    <cellStyle name="20% - Accent5 2" xfId="47"/>
    <cellStyle name="20% - Accent5 2 2" xfId="49"/>
    <cellStyle name="20% - Accent5 2_UMi-70GHz" xfId="1"/>
    <cellStyle name="20% - Accent5 3" xfId="51"/>
    <cellStyle name="20% - Accent6" xfId="11" builtinId="50"/>
    <cellStyle name="20% - Accent6 2" xfId="53"/>
    <cellStyle name="20% - Accent6 2 2" xfId="56"/>
    <cellStyle name="20% - Accent6 2_UMi-70GHz" xfId="57"/>
    <cellStyle name="20% - Accent6 3" xfId="59"/>
    <cellStyle name="20% - 강조색1 2" xfId="61"/>
    <cellStyle name="20% - 강조색1 3" xfId="62"/>
    <cellStyle name="20% - 강조색2 2" xfId="63"/>
    <cellStyle name="20% - 강조색2 3" xfId="64"/>
    <cellStyle name="20% - 강조색3 2" xfId="8"/>
    <cellStyle name="20% - 강조색3 3" xfId="5"/>
    <cellStyle name="20% - 강조색4 2" xfId="65"/>
    <cellStyle name="20% - 강조색4 3" xfId="66"/>
    <cellStyle name="20% - 강조색5 2" xfId="67"/>
    <cellStyle name="20% - 강조색5 3" xfId="68"/>
    <cellStyle name="20% - 강조색6 2" xfId="69"/>
    <cellStyle name="20% - 강조색6 3" xfId="70"/>
    <cellStyle name="20% - 强调文字颜色 1 2" xfId="72"/>
    <cellStyle name="20% - 强调文字颜色 1 3" xfId="24"/>
    <cellStyle name="20% - 强调文字颜色 1 3 2" xfId="31"/>
    <cellStyle name="20% - 强调文字颜色 2 2" xfId="73"/>
    <cellStyle name="20% - 强调文字颜色 2 3" xfId="12"/>
    <cellStyle name="20% - 强调文字颜色 2 3 2" xfId="6"/>
    <cellStyle name="20% - 强调文字颜色 3 2" xfId="74"/>
    <cellStyle name="20% - 强调文字颜色 3 3" xfId="15"/>
    <cellStyle name="20% - 强调文字颜色 3 3 2" xfId="27"/>
    <cellStyle name="20% - 强调文字颜色 4 2" xfId="76"/>
    <cellStyle name="20% - 强调文字颜色 4 3" xfId="38"/>
    <cellStyle name="20% - 强调文字颜色 4 3 2" xfId="40"/>
    <cellStyle name="20% - 强调文字颜色 5 2" xfId="77"/>
    <cellStyle name="20% - 强调文字颜色 5 3" xfId="46"/>
    <cellStyle name="20% - 强调文字颜色 5 3 2" xfId="48"/>
    <cellStyle name="20% - 强调文字颜色 6 2" xfId="78"/>
    <cellStyle name="20% - 强调文字颜色 6 2 2" xfId="79"/>
    <cellStyle name="20% - 强调文字颜色 6 3" xfId="52"/>
    <cellStyle name="20% - 强调文字颜色 6 3 2" xfId="55"/>
    <cellStyle name="20% - 着色 5 2" xfId="80"/>
    <cellStyle name="40% - Accent1 2" xfId="81"/>
    <cellStyle name="40% - Accent1 2 2" xfId="82"/>
    <cellStyle name="40% - Accent1 2_UMi-70GHz" xfId="83"/>
    <cellStyle name="40% - Accent1 3" xfId="84"/>
    <cellStyle name="40% - Accent2 2" xfId="85"/>
    <cellStyle name="40% - Accent2 2 2" xfId="86"/>
    <cellStyle name="40% - Accent2 2_UMi-70GHz" xfId="87"/>
    <cellStyle name="40% - Accent2 3" xfId="29"/>
    <cellStyle name="40% - Accent3 2" xfId="88"/>
    <cellStyle name="40% - Accent3 2 2" xfId="89"/>
    <cellStyle name="40% - Accent3 2_UMi-70GHz" xfId="54"/>
    <cellStyle name="40% - Accent3 3" xfId="90"/>
    <cellStyle name="40% - Accent4 2" xfId="91"/>
    <cellStyle name="40% - Accent4 2 2" xfId="92"/>
    <cellStyle name="40% - Accent4 2_UMi-70GHz" xfId="93"/>
    <cellStyle name="40% - Accent4 3" xfId="94"/>
    <cellStyle name="40% - Accent5 2" xfId="95"/>
    <cellStyle name="40% - Accent5 2 2" xfId="96"/>
    <cellStyle name="40% - Accent5 2_UMi-70GHz" xfId="97"/>
    <cellStyle name="40% - Accent5 3" xfId="98"/>
    <cellStyle name="40% - Accent6 2" xfId="99"/>
    <cellStyle name="40% - Accent6 2 2" xfId="19"/>
    <cellStyle name="40% - Accent6 2_UMi-70GHz" xfId="100"/>
    <cellStyle name="40% - Accent6 3" xfId="101"/>
    <cellStyle name="40% - 강조색1 2" xfId="102"/>
    <cellStyle name="40% - 강조색1 3" xfId="103"/>
    <cellStyle name="40% - 강조색2 2" xfId="104"/>
    <cellStyle name="40% - 강조색2 3" xfId="105"/>
    <cellStyle name="40% - 강조색3 2" xfId="106"/>
    <cellStyle name="40% - 강조색3 3" xfId="107"/>
    <cellStyle name="40% - 강조색4 2" xfId="108"/>
    <cellStyle name="40% - 강조색4 3" xfId="109"/>
    <cellStyle name="40% - 강조색5 2" xfId="110"/>
    <cellStyle name="40% - 강조색5 3" xfId="2"/>
    <cellStyle name="40% - 강조색6 2" xfId="111"/>
    <cellStyle name="40% - 강조색6 3" xfId="113"/>
    <cellStyle name="40% - 强调文字颜色 1 2" xfId="115"/>
    <cellStyle name="40% - 强调文字颜色 1 3" xfId="117"/>
    <cellStyle name="40% - 强调文字颜色 1 3 2" xfId="118"/>
    <cellStyle name="40% - 强调文字颜色 2 2" xfId="119"/>
    <cellStyle name="40% - 强调文字颜色 2 3" xfId="120"/>
    <cellStyle name="40% - 强调文字颜色 2 3 2" xfId="121"/>
    <cellStyle name="40% - 强调文字颜色 3 2" xfId="122"/>
    <cellStyle name="40% - 强调文字颜色 3 3" xfId="123"/>
    <cellStyle name="40% - 强调文字颜色 3 3 2" xfId="124"/>
    <cellStyle name="40% - 强调文字颜色 4 2" xfId="10"/>
    <cellStyle name="40% - 强调文字颜色 4 3" xfId="125"/>
    <cellStyle name="40% - 强调文字颜色 4 3 2" xfId="22"/>
    <cellStyle name="40% - 强调文字颜色 5 2" xfId="126"/>
    <cellStyle name="40% - 强调文字颜色 5 3" xfId="127"/>
    <cellStyle name="40% - 强调文字颜色 5 3 2" xfId="128"/>
    <cellStyle name="40% - 强调文字颜色 6 2" xfId="129"/>
    <cellStyle name="40% - 强调文字颜色 6 3" xfId="130"/>
    <cellStyle name="40% - 强调文字颜色 6 3 2" xfId="131"/>
    <cellStyle name="60% - 强调文字颜色 1 2" xfId="35"/>
    <cellStyle name="60% - 强调文字颜色 2 2" xfId="44"/>
    <cellStyle name="60% - 强调文字颜色 3 2" xfId="50"/>
    <cellStyle name="60% - 强调文字颜色 4 2" xfId="58"/>
    <cellStyle name="60% - 强调文字颜色 5 2" xfId="132"/>
    <cellStyle name="60% - 强调文字颜色 6 2" xfId="133"/>
    <cellStyle name="Commentaire 2" xfId="134"/>
    <cellStyle name="Commentaire 2 2" xfId="135"/>
    <cellStyle name="Commentaire 2 2 2" xfId="9"/>
    <cellStyle name="Commentaire 2 3" xfId="60"/>
    <cellStyle name="Normal" xfId="0" builtinId="0"/>
    <cellStyle name="Normal 2" xfId="136"/>
    <cellStyle name="Normal 2 2" xfId="137"/>
    <cellStyle name="Normal 2 2 2" xfId="42"/>
    <cellStyle name="Normal 2 2 2 2" xfId="138"/>
    <cellStyle name="Normal 2 2 2_UMi-70GHz" xfId="139"/>
    <cellStyle name="Normal 2 2 3" xfId="140"/>
    <cellStyle name="Normal 2 2_UMi-70GHz" xfId="141"/>
    <cellStyle name="Normal 2 3" xfId="142"/>
    <cellStyle name="Normal 2 3 2" xfId="143"/>
    <cellStyle name="Normal 2 3_UMi-70GHz" xfId="112"/>
    <cellStyle name="Normal 2 4" xfId="144"/>
    <cellStyle name="Normal 2_UMi-70GHz" xfId="145"/>
    <cellStyle name="Normal 3" xfId="146"/>
    <cellStyle name="Normal 3 2" xfId="147"/>
    <cellStyle name="Normal 3 3" xfId="148"/>
    <cellStyle name="Normal 3 3 2" xfId="149"/>
    <cellStyle name="Normal 3 3_UMi-70GHz" xfId="150"/>
    <cellStyle name="Normal 3 4" xfId="71"/>
    <cellStyle name="Normal 3_UMi-70GHz" xfId="151"/>
    <cellStyle name="Normal 4" xfId="152"/>
    <cellStyle name="Normal 4 2" xfId="153"/>
    <cellStyle name="Normal 4 2 2" xfId="154"/>
    <cellStyle name="Normal 4 2_UMi-70GHz" xfId="18"/>
    <cellStyle name="Normal 4 3" xfId="155"/>
    <cellStyle name="Normal 4_UMi-70GHz" xfId="156"/>
    <cellStyle name="TableStyleLight1" xfId="157"/>
    <cellStyle name="TableStyleLight1 2" xfId="158"/>
    <cellStyle name="Total" xfId="14" builtinId="25"/>
    <cellStyle name="一般 2" xfId="114"/>
    <cellStyle name="一般 2 2" xfId="181"/>
    <cellStyle name="一般 2 3" xfId="182"/>
    <cellStyle name="一般 2_UMi-70GHz" xfId="183"/>
    <cellStyle name="一般 3" xfId="116"/>
    <cellStyle name="好 2" xfId="168"/>
    <cellStyle name="好_UMi-70GHz" xfId="4"/>
    <cellStyle name="差 2" xfId="164"/>
    <cellStyle name="差_UMi-70GHz" xfId="165"/>
    <cellStyle name="常规 2" xfId="166"/>
    <cellStyle name="常规 3" xfId="75"/>
    <cellStyle name="常规 3 2" xfId="167"/>
    <cellStyle name="常规 4" xfId="37"/>
    <cellStyle name="强调文字颜色 1 2" xfId="174"/>
    <cellStyle name="强调文字颜色 2 2" xfId="175"/>
    <cellStyle name="强调文字颜色 3 2" xfId="176"/>
    <cellStyle name="强调文字颜色 4 2" xfId="177"/>
    <cellStyle name="强调文字颜色 5 2" xfId="178"/>
    <cellStyle name="强调文字颜色 6 2" xfId="179"/>
    <cellStyle name="标题 1 2" xfId="159"/>
    <cellStyle name="标题 2 2" xfId="160"/>
    <cellStyle name="标题 3 2" xfId="161"/>
    <cellStyle name="标题 4 2" xfId="162"/>
    <cellStyle name="标题 5" xfId="163"/>
    <cellStyle name="检查单元格 2" xfId="170"/>
    <cellStyle name="汇总 2" xfId="169"/>
    <cellStyle name="注释 2" xfId="184"/>
    <cellStyle name="注释 2 2" xfId="185"/>
    <cellStyle name="解释性文本 2" xfId="171"/>
    <cellStyle name="警告文本 2" xfId="172"/>
    <cellStyle name="计算 2" xfId="3"/>
    <cellStyle name="输入 2" xfId="180"/>
    <cellStyle name="输出 2" xfId="23"/>
    <cellStyle name="适中 2" xfId="26"/>
    <cellStyle name="链接单元格 2" xfId="173"/>
  </cellStyles>
  <dxfs count="1">
    <dxf>
      <font>
        <color rgb="FF9C0006"/>
      </font>
      <fill>
        <patternFill patternType="solid">
          <bgColor rgb="FFFFC7CE"/>
        </patternFill>
      </fill>
    </dxf>
  </dxfs>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48</xdr:row>
      <xdr:rowOff>9525</xdr:rowOff>
    </xdr:from>
    <xdr:to>
      <xdr:col>2</xdr:col>
      <xdr:colOff>590550</xdr:colOff>
      <xdr:row>49</xdr:row>
      <xdr:rowOff>180975</xdr:rowOff>
    </xdr:to>
    <xdr:pic>
      <xdr:nvPicPr>
        <xdr:cNvPr id="2" name="Picture 1">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09850" y="11858625"/>
          <a:ext cx="561975" cy="3524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49</xdr:row>
      <xdr:rowOff>9525</xdr:rowOff>
    </xdr:from>
    <xdr:to>
      <xdr:col>2</xdr:col>
      <xdr:colOff>590550</xdr:colOff>
      <xdr:row>50</xdr:row>
      <xdr:rowOff>180975</xdr:rowOff>
    </xdr:to>
    <xdr:pic>
      <xdr:nvPicPr>
        <xdr:cNvPr id="2" name="Picture 1">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09850" y="11344275"/>
          <a:ext cx="561975" cy="3524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37"/>
  <sheetViews>
    <sheetView workbookViewId="0">
      <selection sqref="A1:XFD3"/>
    </sheetView>
  </sheetViews>
  <sheetFormatPr defaultColWidth="9.28515625" defaultRowHeight="12.75"/>
  <cols>
    <col min="2" max="2" width="13.7109375" customWidth="1"/>
    <col min="4" max="4" width="21.85546875" customWidth="1"/>
    <col min="5" max="5" width="53.42578125" customWidth="1"/>
  </cols>
  <sheetData>
    <row r="4" spans="2:5">
      <c r="B4" t="s">
        <v>0</v>
      </c>
      <c r="C4" t="s">
        <v>1</v>
      </c>
      <c r="D4" t="s">
        <v>2</v>
      </c>
      <c r="E4" t="s">
        <v>3</v>
      </c>
    </row>
    <row r="5" spans="2:5">
      <c r="B5" s="179" t="s">
        <v>4</v>
      </c>
      <c r="C5" s="43">
        <v>1</v>
      </c>
      <c r="D5" s="43" t="s">
        <v>5</v>
      </c>
      <c r="E5" s="43" t="s">
        <v>6</v>
      </c>
    </row>
    <row r="6" spans="2:5" ht="51">
      <c r="B6" s="180" t="s">
        <v>8</v>
      </c>
      <c r="C6" s="43">
        <v>3</v>
      </c>
      <c r="D6" t="s">
        <v>5</v>
      </c>
      <c r="E6" s="181" t="s">
        <v>9</v>
      </c>
    </row>
    <row r="7" spans="2:5">
      <c r="B7" s="180" t="s">
        <v>11</v>
      </c>
      <c r="C7" s="43">
        <v>6</v>
      </c>
      <c r="D7" t="s">
        <v>12</v>
      </c>
      <c r="E7" t="s">
        <v>7</v>
      </c>
    </row>
    <row r="8" spans="2:5">
      <c r="B8" s="180" t="s">
        <v>13</v>
      </c>
      <c r="C8" s="43">
        <v>14</v>
      </c>
      <c r="D8" t="s">
        <v>14</v>
      </c>
      <c r="E8" t="s">
        <v>10</v>
      </c>
    </row>
    <row r="9" spans="2:5">
      <c r="B9" s="180" t="s">
        <v>13</v>
      </c>
      <c r="C9" s="43">
        <v>15</v>
      </c>
      <c r="D9" t="s">
        <v>14</v>
      </c>
      <c r="E9" t="s">
        <v>15</v>
      </c>
    </row>
    <row r="10" spans="2:5">
      <c r="B10" s="180" t="s">
        <v>13</v>
      </c>
      <c r="C10" s="43">
        <v>16</v>
      </c>
      <c r="D10" t="s">
        <v>16</v>
      </c>
      <c r="E10" t="s">
        <v>10</v>
      </c>
    </row>
    <row r="11" spans="2:5">
      <c r="B11" s="180" t="s">
        <v>13</v>
      </c>
      <c r="C11" s="43">
        <v>17</v>
      </c>
      <c r="D11" t="s">
        <v>16</v>
      </c>
      <c r="E11" t="s">
        <v>10</v>
      </c>
    </row>
    <row r="12" spans="2:5">
      <c r="B12" s="182" t="s">
        <v>17</v>
      </c>
      <c r="C12" s="183">
        <v>18</v>
      </c>
      <c r="D12" s="184" t="s">
        <v>18</v>
      </c>
      <c r="E12" s="184" t="s">
        <v>10</v>
      </c>
    </row>
    <row r="13" spans="2:5">
      <c r="B13" s="180" t="s">
        <v>19</v>
      </c>
      <c r="C13" s="183">
        <v>19</v>
      </c>
      <c r="D13" s="184" t="s">
        <v>20</v>
      </c>
      <c r="E13" s="184" t="s">
        <v>21</v>
      </c>
    </row>
    <row r="14" spans="2:5">
      <c r="B14" s="180" t="s">
        <v>22</v>
      </c>
      <c r="C14" s="43">
        <v>20</v>
      </c>
      <c r="D14" s="184" t="s">
        <v>23</v>
      </c>
      <c r="E14" s="181" t="s">
        <v>10</v>
      </c>
    </row>
    <row r="15" spans="2:5" ht="63.75">
      <c r="B15" s="180" t="s">
        <v>22</v>
      </c>
      <c r="C15" s="43">
        <v>22</v>
      </c>
      <c r="D15" t="s">
        <v>5</v>
      </c>
      <c r="E15" s="185" t="s">
        <v>24</v>
      </c>
    </row>
    <row r="16" spans="2:5">
      <c r="B16" s="180" t="s">
        <v>25</v>
      </c>
      <c r="C16" s="43">
        <v>26</v>
      </c>
      <c r="D16" s="184" t="s">
        <v>16</v>
      </c>
      <c r="E16" s="181" t="s">
        <v>26</v>
      </c>
    </row>
    <row r="17" spans="2:5">
      <c r="B17" s="180" t="s">
        <v>25</v>
      </c>
      <c r="C17" s="43">
        <v>27</v>
      </c>
      <c r="D17" t="s">
        <v>12</v>
      </c>
      <c r="E17" s="181" t="s">
        <v>10</v>
      </c>
    </row>
    <row r="18" spans="2:5">
      <c r="B18" s="180" t="s">
        <v>25</v>
      </c>
      <c r="C18" s="43">
        <v>28</v>
      </c>
      <c r="D18" t="s">
        <v>20</v>
      </c>
      <c r="E18" s="181" t="s">
        <v>27</v>
      </c>
    </row>
    <row r="19" spans="2:5" ht="50.25" customHeight="1">
      <c r="B19" s="180" t="s">
        <v>28</v>
      </c>
      <c r="C19" s="43">
        <v>31</v>
      </c>
      <c r="D19" t="s">
        <v>5</v>
      </c>
      <c r="E19" s="181" t="s">
        <v>29</v>
      </c>
    </row>
    <row r="20" spans="2:5">
      <c r="B20" s="180" t="s">
        <v>30</v>
      </c>
      <c r="C20" s="43">
        <v>33</v>
      </c>
      <c r="D20" t="s">
        <v>16</v>
      </c>
      <c r="E20" s="181" t="s">
        <v>31</v>
      </c>
    </row>
    <row r="21" spans="2:5">
      <c r="B21" s="180" t="s">
        <v>30</v>
      </c>
      <c r="C21" s="43">
        <v>34</v>
      </c>
      <c r="D21" t="s">
        <v>12</v>
      </c>
      <c r="E21" s="181" t="s">
        <v>31</v>
      </c>
    </row>
    <row r="22" spans="2:5">
      <c r="B22" s="180" t="s">
        <v>32</v>
      </c>
      <c r="C22" s="43">
        <v>38</v>
      </c>
      <c r="D22" t="s">
        <v>20</v>
      </c>
      <c r="E22" s="181" t="s">
        <v>33</v>
      </c>
    </row>
    <row r="23" spans="2:5" ht="54" customHeight="1">
      <c r="B23" s="180" t="s">
        <v>32</v>
      </c>
      <c r="C23" s="43">
        <v>40</v>
      </c>
      <c r="D23" t="s">
        <v>5</v>
      </c>
      <c r="E23" s="181" t="s">
        <v>34</v>
      </c>
    </row>
    <row r="24" spans="2:5" ht="63.75">
      <c r="B24" s="180" t="s">
        <v>35</v>
      </c>
      <c r="C24" s="43">
        <v>41</v>
      </c>
      <c r="D24" t="s">
        <v>5</v>
      </c>
      <c r="E24" s="181" t="s">
        <v>36</v>
      </c>
    </row>
    <row r="25" spans="2:5">
      <c r="B25" s="186" t="s">
        <v>493</v>
      </c>
      <c r="C25" s="43">
        <v>42</v>
      </c>
      <c r="D25" s="187" t="s">
        <v>494</v>
      </c>
      <c r="E25" s="185" t="s">
        <v>495</v>
      </c>
    </row>
    <row r="26" spans="2:5">
      <c r="B26" s="180" t="s">
        <v>497</v>
      </c>
      <c r="C26" s="188">
        <v>45</v>
      </c>
      <c r="D26" t="s">
        <v>5</v>
      </c>
      <c r="E26" s="192" t="s">
        <v>498</v>
      </c>
    </row>
    <row r="27" spans="2:5" ht="25.5">
      <c r="B27" s="180" t="s">
        <v>501</v>
      </c>
      <c r="C27" s="193">
        <v>46</v>
      </c>
      <c r="D27" t="s">
        <v>5</v>
      </c>
      <c r="E27" s="192" t="s">
        <v>502</v>
      </c>
    </row>
    <row r="28" spans="2:5">
      <c r="B28" s="180"/>
    </row>
    <row r="29" spans="2:5">
      <c r="B29" s="180"/>
    </row>
    <row r="30" spans="2:5">
      <c r="B30" s="180"/>
    </row>
    <row r="31" spans="2:5">
      <c r="B31" s="180"/>
    </row>
    <row r="32" spans="2:5">
      <c r="B32" s="180"/>
    </row>
    <row r="33" spans="2:2">
      <c r="B33" s="180"/>
    </row>
    <row r="34" spans="2:2">
      <c r="B34" s="180"/>
    </row>
    <row r="35" spans="2:2">
      <c r="B35" s="180"/>
    </row>
    <row r="36" spans="2:2">
      <c r="B36" s="180"/>
    </row>
    <row r="37" spans="2:2">
      <c r="B37" s="180"/>
    </row>
  </sheetData>
  <phoneticPr fontId="11" type="noConversion"/>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topLeftCell="A43" zoomScale="85" zoomScaleNormal="85" workbookViewId="0">
      <selection activeCell="H74" sqref="H74"/>
    </sheetView>
  </sheetViews>
  <sheetFormatPr defaultColWidth="8.85546875" defaultRowHeight="12.75"/>
  <cols>
    <col min="1" max="1" width="10.28515625" customWidth="1"/>
    <col min="2" max="2" width="31.7109375" customWidth="1"/>
    <col min="3" max="3" width="18.140625" style="42" customWidth="1"/>
    <col min="4" max="4" width="19.28515625" style="42" customWidth="1"/>
    <col min="5" max="6" width="16.140625" style="42" customWidth="1"/>
    <col min="7" max="7" width="8.85546875" style="42"/>
    <col min="8" max="8" width="9.5703125" style="42" customWidth="1"/>
    <col min="9" max="10" width="8.85546875" style="42"/>
    <col min="11" max="11" width="11.140625" style="42" customWidth="1"/>
    <col min="12" max="12" width="10.5703125" customWidth="1"/>
    <col min="13" max="13" width="11.140625" style="42" customWidth="1"/>
    <col min="14" max="14" width="13.85546875" style="42" customWidth="1"/>
    <col min="15" max="15" width="12.5703125" style="60" customWidth="1"/>
    <col min="16" max="16" width="10.140625" style="42" customWidth="1"/>
    <col min="17" max="17" width="13.5703125" style="42" customWidth="1"/>
    <col min="18" max="18" width="12.42578125" style="60" customWidth="1"/>
    <col min="19" max="19" width="15.7109375" customWidth="1"/>
    <col min="20" max="20" width="14.42578125" customWidth="1"/>
    <col min="21" max="21" width="15.5703125" customWidth="1"/>
    <col min="22" max="22" width="15" customWidth="1"/>
    <col min="23" max="23" width="15.140625" customWidth="1"/>
    <col min="24" max="24" width="13.7109375" customWidth="1"/>
    <col min="25" max="25" width="16.42578125" customWidth="1"/>
    <col min="26" max="26" width="14.140625" customWidth="1"/>
    <col min="27" max="27" width="14.85546875" customWidth="1"/>
  </cols>
  <sheetData>
    <row r="1" spans="1:27" ht="36" customHeight="1">
      <c r="B1" s="242" t="s">
        <v>343</v>
      </c>
      <c r="C1" s="242"/>
      <c r="D1" s="242"/>
      <c r="E1" s="242"/>
      <c r="F1" s="242"/>
      <c r="G1" s="242"/>
      <c r="H1" s="242"/>
      <c r="I1" s="242"/>
      <c r="J1" s="242"/>
    </row>
    <row r="2" spans="1:27" ht="15">
      <c r="B2" s="70" t="s">
        <v>344</v>
      </c>
      <c r="C2" s="44"/>
    </row>
    <row r="3" spans="1:27" ht="15">
      <c r="B3" s="70" t="s">
        <v>345</v>
      </c>
      <c r="C3" s="70"/>
      <c r="D3" s="42" t="s">
        <v>346</v>
      </c>
      <c r="E3" s="42" t="s">
        <v>347</v>
      </c>
      <c r="F3" s="42" t="s">
        <v>348</v>
      </c>
    </row>
    <row r="4" spans="1:27" ht="15">
      <c r="B4" s="70" t="s">
        <v>349</v>
      </c>
      <c r="C4"/>
      <c r="D4" s="42">
        <v>10</v>
      </c>
      <c r="E4" s="42">
        <v>20</v>
      </c>
      <c r="F4" s="42">
        <v>40</v>
      </c>
    </row>
    <row r="5" spans="1:27" ht="15">
      <c r="B5" s="70" t="s">
        <v>350</v>
      </c>
      <c r="C5" s="70"/>
      <c r="D5" s="42">
        <f>52</f>
        <v>52</v>
      </c>
      <c r="E5" s="42">
        <v>106</v>
      </c>
      <c r="F5" s="42">
        <v>216</v>
      </c>
    </row>
    <row r="6" spans="1:27" ht="15">
      <c r="B6" s="70" t="s">
        <v>351</v>
      </c>
      <c r="C6"/>
      <c r="D6" s="71">
        <v>6.4000000000000001E-2</v>
      </c>
      <c r="E6" s="71">
        <v>4.5999999999999999E-2</v>
      </c>
      <c r="F6" s="71">
        <v>2.8000000000000001E-2</v>
      </c>
    </row>
    <row r="7" spans="1:27" ht="48.75" customHeight="1" thickBot="1">
      <c r="B7" s="45"/>
      <c r="C7" s="45" t="s">
        <v>352</v>
      </c>
      <c r="D7" s="45"/>
      <c r="E7" s="45" t="s">
        <v>298</v>
      </c>
      <c r="F7" s="45" t="s">
        <v>353</v>
      </c>
      <c r="G7" s="45" t="s">
        <v>231</v>
      </c>
      <c r="H7" s="45" t="s">
        <v>308</v>
      </c>
      <c r="I7" s="45" t="s">
        <v>275</v>
      </c>
      <c r="J7" s="45" t="s">
        <v>272</v>
      </c>
      <c r="K7" s="45" t="s">
        <v>314</v>
      </c>
      <c r="L7" s="45"/>
      <c r="M7" s="56" t="s">
        <v>354</v>
      </c>
      <c r="N7" s="56" t="s">
        <v>355</v>
      </c>
      <c r="O7" s="56" t="s">
        <v>356</v>
      </c>
      <c r="P7" s="57" t="s">
        <v>357</v>
      </c>
      <c r="Q7" s="57" t="s">
        <v>358</v>
      </c>
      <c r="R7" s="64" t="s">
        <v>359</v>
      </c>
      <c r="S7" s="65" t="s">
        <v>360</v>
      </c>
      <c r="T7" s="57" t="s">
        <v>361</v>
      </c>
      <c r="U7" s="57" t="s">
        <v>362</v>
      </c>
      <c r="V7" s="64" t="s">
        <v>363</v>
      </c>
      <c r="W7" s="65" t="s">
        <v>364</v>
      </c>
      <c r="X7" s="57" t="s">
        <v>365</v>
      </c>
      <c r="Y7" s="57" t="s">
        <v>366</v>
      </c>
      <c r="Z7" s="64" t="s">
        <v>367</v>
      </c>
      <c r="AA7" s="65" t="s">
        <v>368</v>
      </c>
    </row>
    <row r="8" spans="1:27" ht="13.5" thickTop="1">
      <c r="A8">
        <v>1</v>
      </c>
      <c r="B8" s="50" t="s">
        <v>20</v>
      </c>
      <c r="C8" s="48" t="s">
        <v>370</v>
      </c>
      <c r="D8" s="50"/>
      <c r="E8" s="50">
        <f>2*10*D5*10</f>
        <v>10400</v>
      </c>
      <c r="F8" s="50">
        <f>32*D5</f>
        <v>1664</v>
      </c>
      <c r="G8" s="50">
        <f>4*D5</f>
        <v>208</v>
      </c>
      <c r="H8" s="50">
        <f>3*4*D5*1/2</f>
        <v>312</v>
      </c>
      <c r="I8" s="50">
        <f>1*4*240/2</f>
        <v>480</v>
      </c>
      <c r="J8" s="50">
        <f>12*2*10*52</f>
        <v>12480</v>
      </c>
      <c r="K8" s="50"/>
      <c r="L8" s="50"/>
      <c r="M8" s="50">
        <f>D5*12*10*14</f>
        <v>87360</v>
      </c>
      <c r="N8" s="50">
        <f>SUM(E8:J8)</f>
        <v>25544</v>
      </c>
      <c r="O8" s="73">
        <f>100*N8/M8</f>
        <v>29.239926739926741</v>
      </c>
      <c r="P8" s="48">
        <v>87360</v>
      </c>
      <c r="Q8" s="48">
        <v>25544</v>
      </c>
      <c r="R8" s="59">
        <v>29.239926739926702</v>
      </c>
      <c r="S8" s="60">
        <f t="shared" ref="S8:S22" si="0">(1-R8/100)/(1-O8/100)</f>
        <v>1.0000000000000007</v>
      </c>
      <c r="T8" s="42">
        <f t="shared" ref="T8:T22" si="1">P8*$E$5/$D$5</f>
        <v>178080</v>
      </c>
      <c r="U8" s="75">
        <f t="shared" ref="U8:U22" si="2">SUM(E8:G8)*$E$5/$D$5+H8+I8+12*CEILING($E$5*2*$D$4/$E$4,1)*10</f>
        <v>38528</v>
      </c>
      <c r="V8" s="59">
        <f t="shared" ref="V8:V22" si="3">100*U8/T8</f>
        <v>21.635220125786162</v>
      </c>
      <c r="W8" s="60">
        <f t="shared" ref="W8:W22" si="4">(1-V8/100)/(1-R8/100)*(1-$E$6)/(1-$D$6)</f>
        <v>1.1287692506794353</v>
      </c>
      <c r="X8" s="42">
        <f t="shared" ref="X8:X22" si="5">P8*$F$5/$D$5</f>
        <v>362880</v>
      </c>
      <c r="Y8" s="75">
        <f t="shared" ref="Y8:Y22" si="6">SUM(E8:G8)*$F$5/$D$5+H8+I8+12*CEILING($F$5*2*$D$4/$F$4,1)*10</f>
        <v>64728</v>
      </c>
      <c r="Z8" s="59">
        <f t="shared" ref="Z8:Z22" si="7">100*Y8/X8</f>
        <v>17.837301587301589</v>
      </c>
      <c r="AA8" s="60">
        <f t="shared" ref="AA8:AA22" si="8">(1-Z8/100)/(1-R8/100)*(1-$F$6)/(1-$D$6)</f>
        <v>1.2058043225054995</v>
      </c>
    </row>
    <row r="9" spans="1:27">
      <c r="A9">
        <v>2</v>
      </c>
      <c r="B9" s="48" t="s">
        <v>12</v>
      </c>
      <c r="C9" s="48" t="s">
        <v>371</v>
      </c>
      <c r="D9" s="48"/>
      <c r="E9" s="48">
        <f>2*12*D5*10</f>
        <v>12480</v>
      </c>
      <c r="F9" s="48">
        <f>32*D5</f>
        <v>1664</v>
      </c>
      <c r="G9" s="48">
        <f>4*D5</f>
        <v>208</v>
      </c>
      <c r="H9" s="48">
        <f>4*3*D5*10/80</f>
        <v>78</v>
      </c>
      <c r="I9" s="48">
        <f>4*240*1/2</f>
        <v>480</v>
      </c>
      <c r="J9" s="48">
        <f>2*12*D5*10</f>
        <v>12480</v>
      </c>
      <c r="K9" s="48"/>
      <c r="L9" s="41"/>
      <c r="M9" s="48">
        <f>12*14*D5*10</f>
        <v>87360</v>
      </c>
      <c r="N9" s="48">
        <f>SUM(E9:J9)</f>
        <v>27390</v>
      </c>
      <c r="O9" s="59">
        <f>100*N9/M9</f>
        <v>31.353021978021978</v>
      </c>
      <c r="P9" s="48">
        <v>87360</v>
      </c>
      <c r="Q9" s="48">
        <v>27390</v>
      </c>
      <c r="R9" s="59">
        <v>31.353021978021999</v>
      </c>
      <c r="S9" s="60">
        <f t="shared" si="0"/>
        <v>0.99999999999999967</v>
      </c>
      <c r="T9" s="42">
        <f t="shared" si="1"/>
        <v>178080</v>
      </c>
      <c r="U9" s="75">
        <f t="shared" si="2"/>
        <v>42534</v>
      </c>
      <c r="V9" s="59">
        <f t="shared" si="3"/>
        <v>23.884770889487871</v>
      </c>
      <c r="W9" s="60">
        <f t="shared" si="4"/>
        <v>1.1301150575287648</v>
      </c>
      <c r="X9" s="42">
        <f t="shared" si="5"/>
        <v>362880</v>
      </c>
      <c r="Y9" s="75">
        <f t="shared" si="6"/>
        <v>73134</v>
      </c>
      <c r="Z9" s="59">
        <f t="shared" si="7"/>
        <v>20.153769841269842</v>
      </c>
      <c r="AA9" s="60">
        <f t="shared" si="8"/>
        <v>1.2078789394697353</v>
      </c>
    </row>
    <row r="10" spans="1:27">
      <c r="A10">
        <v>3</v>
      </c>
      <c r="B10" s="48" t="s">
        <v>5</v>
      </c>
      <c r="C10" s="48" t="s">
        <v>372</v>
      </c>
      <c r="D10" s="48"/>
      <c r="E10" s="48">
        <v>5538</v>
      </c>
      <c r="F10" s="48">
        <f>8*D5*2</f>
        <v>832</v>
      </c>
      <c r="G10" s="48">
        <f>4*D5*2</f>
        <v>416</v>
      </c>
      <c r="H10" s="48">
        <f>4*3*D5*10/20</f>
        <v>312</v>
      </c>
      <c r="I10" s="48">
        <f>1*4*240*10/20</f>
        <v>480</v>
      </c>
      <c r="J10" s="48">
        <f>2*12*D5*10</f>
        <v>12480</v>
      </c>
      <c r="K10" s="48"/>
      <c r="L10" s="41"/>
      <c r="M10" s="48">
        <f>12*14*D5*10</f>
        <v>87360</v>
      </c>
      <c r="N10" s="48">
        <f t="shared" ref="N10:N16" si="9">SUM(E10:J10)</f>
        <v>20058</v>
      </c>
      <c r="O10" s="59">
        <f t="shared" ref="O10:O16" si="10">100*N10/M10</f>
        <v>22.960164835164836</v>
      </c>
      <c r="P10" s="48">
        <v>87360</v>
      </c>
      <c r="Q10" s="48">
        <v>20058</v>
      </c>
      <c r="R10" s="59">
        <v>22.9601648351648</v>
      </c>
      <c r="S10" s="60">
        <f t="shared" si="0"/>
        <v>1.0000000000000004</v>
      </c>
      <c r="T10" s="42">
        <f t="shared" si="1"/>
        <v>178080</v>
      </c>
      <c r="U10" s="75">
        <f t="shared" si="2"/>
        <v>27345</v>
      </c>
      <c r="V10" s="59">
        <f t="shared" si="3"/>
        <v>15.355458221024259</v>
      </c>
      <c r="W10" s="60">
        <f t="shared" si="4"/>
        <v>1.119840420789872</v>
      </c>
      <c r="X10" s="42">
        <f t="shared" si="5"/>
        <v>362880</v>
      </c>
      <c r="Y10" s="75">
        <f t="shared" si="6"/>
        <v>41940</v>
      </c>
      <c r="Z10" s="59">
        <f t="shared" si="7"/>
        <v>11.557539682539682</v>
      </c>
      <c r="AA10" s="60">
        <f t="shared" si="8"/>
        <v>1.1921636801283761</v>
      </c>
    </row>
    <row r="11" spans="1:27">
      <c r="A11">
        <v>4</v>
      </c>
      <c r="B11" s="48" t="s">
        <v>5</v>
      </c>
      <c r="C11" s="48" t="s">
        <v>373</v>
      </c>
      <c r="D11" s="48"/>
      <c r="E11" s="48">
        <v>6428</v>
      </c>
      <c r="F11" s="48">
        <f>16*D5*2</f>
        <v>1664</v>
      </c>
      <c r="G11" s="48">
        <f>4*D5*2</f>
        <v>416</v>
      </c>
      <c r="H11" s="48">
        <f>4*3*D5*10/20</f>
        <v>312</v>
      </c>
      <c r="I11" s="48">
        <f>1*4*240*10/20</f>
        <v>480</v>
      </c>
      <c r="J11" s="48">
        <f>2*12*D5*10</f>
        <v>12480</v>
      </c>
      <c r="K11" s="48"/>
      <c r="L11" s="41"/>
      <c r="M11" s="48">
        <f>12*14*D5*10</f>
        <v>87360</v>
      </c>
      <c r="N11" s="48">
        <f t="shared" si="9"/>
        <v>21780</v>
      </c>
      <c r="O11" s="59">
        <f t="shared" si="10"/>
        <v>24.931318681318682</v>
      </c>
      <c r="P11" s="48">
        <v>87360</v>
      </c>
      <c r="Q11" s="48">
        <v>21780</v>
      </c>
      <c r="R11" s="59">
        <v>24.9313186813187</v>
      </c>
      <c r="S11" s="60">
        <f t="shared" si="0"/>
        <v>0.99999999999999967</v>
      </c>
      <c r="T11" s="42">
        <f t="shared" si="1"/>
        <v>178080</v>
      </c>
      <c r="U11" s="75">
        <f t="shared" si="2"/>
        <v>30855.23076923077</v>
      </c>
      <c r="V11" s="59">
        <f t="shared" si="3"/>
        <v>17.326612067178104</v>
      </c>
      <c r="W11" s="60">
        <f t="shared" si="4"/>
        <v>1.1224822295728063</v>
      </c>
      <c r="X11" s="42">
        <f t="shared" si="5"/>
        <v>362880</v>
      </c>
      <c r="Y11" s="75">
        <f t="shared" si="6"/>
        <v>49092.923076923078</v>
      </c>
      <c r="Z11" s="59">
        <f t="shared" si="7"/>
        <v>13.52869352869353</v>
      </c>
      <c r="AA11" s="60">
        <f t="shared" si="8"/>
        <v>1.1961995918080095</v>
      </c>
    </row>
    <row r="12" spans="1:27">
      <c r="A12">
        <v>5</v>
      </c>
      <c r="B12" s="48" t="s">
        <v>5</v>
      </c>
      <c r="C12" s="48" t="s">
        <v>371</v>
      </c>
      <c r="D12" s="48"/>
      <c r="E12" s="48">
        <v>9524</v>
      </c>
      <c r="F12" s="48">
        <f>32*D5*2</f>
        <v>3328</v>
      </c>
      <c r="G12" s="48">
        <f>4*D5*2</f>
        <v>416</v>
      </c>
      <c r="H12" s="48">
        <f>4*3*D5*10/20</f>
        <v>312</v>
      </c>
      <c r="I12" s="48">
        <f>1*4*240*10/20</f>
        <v>480</v>
      </c>
      <c r="J12" s="48">
        <f>2*12*D5*10</f>
        <v>12480</v>
      </c>
      <c r="K12" s="48"/>
      <c r="L12" s="41"/>
      <c r="M12" s="48">
        <f>12*14*D5*10</f>
        <v>87360</v>
      </c>
      <c r="N12" s="48">
        <f t="shared" si="9"/>
        <v>26540</v>
      </c>
      <c r="O12" s="59">
        <f t="shared" si="10"/>
        <v>30.380036630036631</v>
      </c>
      <c r="P12" s="48">
        <v>87360</v>
      </c>
      <c r="Q12" s="48">
        <v>26540</v>
      </c>
      <c r="R12" s="59">
        <v>30.380036630036599</v>
      </c>
      <c r="S12" s="60">
        <f t="shared" si="0"/>
        <v>1.0000000000000004</v>
      </c>
      <c r="T12" s="42">
        <f t="shared" si="1"/>
        <v>178080</v>
      </c>
      <c r="U12" s="75">
        <f t="shared" si="2"/>
        <v>40558.307692307688</v>
      </c>
      <c r="V12" s="59">
        <f t="shared" si="3"/>
        <v>22.775330015896053</v>
      </c>
      <c r="W12" s="60">
        <f t="shared" si="4"/>
        <v>1.1305630738876378</v>
      </c>
      <c r="X12" s="42">
        <f t="shared" si="5"/>
        <v>362880</v>
      </c>
      <c r="Y12" s="75">
        <f t="shared" si="6"/>
        <v>68865.230769230766</v>
      </c>
      <c r="Z12" s="59">
        <f t="shared" si="7"/>
        <v>18.977411477411479</v>
      </c>
      <c r="AA12" s="60">
        <f t="shared" si="8"/>
        <v>1.2085447600738619</v>
      </c>
    </row>
    <row r="13" spans="1:27">
      <c r="A13">
        <v>6</v>
      </c>
      <c r="B13" s="48" t="s">
        <v>5</v>
      </c>
      <c r="C13" s="48" t="s">
        <v>374</v>
      </c>
      <c r="D13" s="48"/>
      <c r="E13" s="48">
        <v>5816</v>
      </c>
      <c r="F13" s="48">
        <f>8*D5*2</f>
        <v>832</v>
      </c>
      <c r="G13" s="48">
        <f>4*D5*2</f>
        <v>416</v>
      </c>
      <c r="H13" s="48">
        <f>4*3*D5*10/20</f>
        <v>312</v>
      </c>
      <c r="I13" s="48">
        <f>1*4*240*10/20</f>
        <v>480</v>
      </c>
      <c r="J13" s="48">
        <f>2*12*D5*10</f>
        <v>12480</v>
      </c>
      <c r="K13" s="48"/>
      <c r="L13" s="41"/>
      <c r="M13" s="48">
        <f>12*14*D5*10</f>
        <v>87360</v>
      </c>
      <c r="N13" s="48">
        <f t="shared" si="9"/>
        <v>20336</v>
      </c>
      <c r="O13" s="59">
        <f t="shared" si="10"/>
        <v>23.278388278388277</v>
      </c>
      <c r="P13" s="48">
        <v>87360</v>
      </c>
      <c r="Q13" s="48">
        <v>20336</v>
      </c>
      <c r="R13" s="59">
        <v>23.278388278388299</v>
      </c>
      <c r="S13" s="60">
        <f t="shared" si="0"/>
        <v>0.99999999999999967</v>
      </c>
      <c r="T13" s="42">
        <f t="shared" si="1"/>
        <v>178080</v>
      </c>
      <c r="U13" s="75">
        <f t="shared" si="2"/>
        <v>27911.692307692309</v>
      </c>
      <c r="V13" s="59">
        <f t="shared" si="3"/>
        <v>15.673681664247702</v>
      </c>
      <c r="W13" s="60">
        <f t="shared" si="4"/>
        <v>1.1202577262794504</v>
      </c>
      <c r="X13" s="42">
        <f t="shared" si="5"/>
        <v>362880</v>
      </c>
      <c r="Y13" s="75">
        <f t="shared" si="6"/>
        <v>43094.769230769234</v>
      </c>
      <c r="Z13" s="59">
        <f t="shared" si="7"/>
        <v>11.875763125763125</v>
      </c>
      <c r="AA13" s="60">
        <f t="shared" si="8"/>
        <v>1.1928012009475368</v>
      </c>
    </row>
    <row r="14" spans="1:27">
      <c r="A14">
        <v>7</v>
      </c>
      <c r="B14" s="48" t="s">
        <v>5</v>
      </c>
      <c r="C14" s="48" t="s">
        <v>375</v>
      </c>
      <c r="D14" s="48"/>
      <c r="E14" s="48">
        <v>6207</v>
      </c>
      <c r="F14" s="48">
        <f>16*D5*2</f>
        <v>1664</v>
      </c>
      <c r="G14" s="48">
        <f>4*D5*2</f>
        <v>416</v>
      </c>
      <c r="H14" s="48">
        <f>4*3*D5*10/20</f>
        <v>312</v>
      </c>
      <c r="I14" s="48">
        <f>1*4*240*10/20</f>
        <v>480</v>
      </c>
      <c r="J14" s="48">
        <f>2*12*D5*10</f>
        <v>12480</v>
      </c>
      <c r="K14" s="48"/>
      <c r="L14" s="41"/>
      <c r="M14" s="48">
        <f>12*14*D5*10</f>
        <v>87360</v>
      </c>
      <c r="N14" s="48">
        <f t="shared" si="9"/>
        <v>21559</v>
      </c>
      <c r="O14" s="59">
        <f t="shared" si="10"/>
        <v>24.678342490842489</v>
      </c>
      <c r="P14" s="48">
        <v>87360</v>
      </c>
      <c r="Q14" s="48">
        <v>21559</v>
      </c>
      <c r="R14" s="59">
        <v>24.6783424908425</v>
      </c>
      <c r="S14" s="60">
        <f t="shared" si="0"/>
        <v>0.99999999999999989</v>
      </c>
      <c r="T14" s="42">
        <f t="shared" si="1"/>
        <v>178080</v>
      </c>
      <c r="U14" s="75">
        <f t="shared" si="2"/>
        <v>30404.73076923077</v>
      </c>
      <c r="V14" s="59">
        <f t="shared" si="3"/>
        <v>17.073635876701914</v>
      </c>
      <c r="W14" s="60">
        <f t="shared" si="4"/>
        <v>1.1221354480233525</v>
      </c>
      <c r="X14" s="42">
        <f t="shared" si="5"/>
        <v>362880</v>
      </c>
      <c r="Y14" s="75">
        <f t="shared" si="6"/>
        <v>48174.923076923078</v>
      </c>
      <c r="Z14" s="59">
        <f t="shared" si="7"/>
        <v>13.275717338217339</v>
      </c>
      <c r="AA14" s="60">
        <f t="shared" si="8"/>
        <v>1.1956698109568129</v>
      </c>
    </row>
    <row r="15" spans="1:27">
      <c r="A15">
        <v>8</v>
      </c>
      <c r="B15" s="48" t="s">
        <v>12</v>
      </c>
      <c r="C15" s="48" t="s">
        <v>372</v>
      </c>
      <c r="D15" s="48"/>
      <c r="E15" s="48">
        <f>16*D5*10</f>
        <v>8320</v>
      </c>
      <c r="F15" s="48">
        <f>8*D5</f>
        <v>416</v>
      </c>
      <c r="G15" s="48">
        <f>4*D5</f>
        <v>208</v>
      </c>
      <c r="H15" s="48">
        <f>4*3*D5*10/80</f>
        <v>78</v>
      </c>
      <c r="I15" s="48">
        <f>4*240*1/2</f>
        <v>480</v>
      </c>
      <c r="J15" s="48">
        <f>2*12*D5*10</f>
        <v>12480</v>
      </c>
      <c r="K15" s="48"/>
      <c r="L15" s="41"/>
      <c r="M15" s="48">
        <f>12*14*D5*10</f>
        <v>87360</v>
      </c>
      <c r="N15" s="48">
        <f t="shared" si="9"/>
        <v>21982</v>
      </c>
      <c r="O15" s="59">
        <f t="shared" si="10"/>
        <v>25.162545787545788</v>
      </c>
      <c r="P15" s="48">
        <v>87360</v>
      </c>
      <c r="Q15" s="48">
        <v>21982</v>
      </c>
      <c r="R15" s="59">
        <v>25.162545787545799</v>
      </c>
      <c r="S15" s="60">
        <f t="shared" si="0"/>
        <v>0.99999999999999989</v>
      </c>
      <c r="T15" s="42">
        <f t="shared" si="1"/>
        <v>178080</v>
      </c>
      <c r="U15" s="75">
        <f t="shared" si="2"/>
        <v>31510</v>
      </c>
      <c r="V15" s="59">
        <f t="shared" si="3"/>
        <v>17.694294699011682</v>
      </c>
      <c r="W15" s="60">
        <f t="shared" si="4"/>
        <v>1.1209428248034508</v>
      </c>
      <c r="X15" s="42">
        <f t="shared" si="5"/>
        <v>362880</v>
      </c>
      <c r="Y15" s="75">
        <f t="shared" si="6"/>
        <v>50670</v>
      </c>
      <c r="Z15" s="59">
        <f t="shared" si="7"/>
        <v>13.96329365079365</v>
      </c>
      <c r="AA15" s="60">
        <f t="shared" si="8"/>
        <v>1.1938649086848789</v>
      </c>
    </row>
    <row r="16" spans="1:27">
      <c r="A16">
        <v>9</v>
      </c>
      <c r="B16" s="48" t="s">
        <v>12</v>
      </c>
      <c r="C16" s="48" t="s">
        <v>373</v>
      </c>
      <c r="D16" s="48"/>
      <c r="E16" s="48">
        <f>2*12*D5*10</f>
        <v>12480</v>
      </c>
      <c r="F16" s="48">
        <f>16*D5</f>
        <v>832</v>
      </c>
      <c r="G16" s="48">
        <f>4*D5</f>
        <v>208</v>
      </c>
      <c r="H16" s="48">
        <f>4*3*D5*10/80</f>
        <v>78</v>
      </c>
      <c r="I16" s="48">
        <f>4*240*1/2</f>
        <v>480</v>
      </c>
      <c r="J16" s="48">
        <f>2*12*D5*10</f>
        <v>12480</v>
      </c>
      <c r="K16" s="48"/>
      <c r="L16" s="41"/>
      <c r="M16" s="48">
        <f>12*14*D5*10</f>
        <v>87360</v>
      </c>
      <c r="N16" s="48">
        <f t="shared" si="9"/>
        <v>26558</v>
      </c>
      <c r="O16" s="59">
        <f t="shared" si="10"/>
        <v>30.400641025641026</v>
      </c>
      <c r="P16" s="48">
        <v>87360</v>
      </c>
      <c r="Q16" s="48">
        <v>26558</v>
      </c>
      <c r="R16" s="59">
        <v>30.400641025641001</v>
      </c>
      <c r="S16" s="60">
        <f t="shared" si="0"/>
        <v>1.0000000000000002</v>
      </c>
      <c r="T16" s="42">
        <f t="shared" si="1"/>
        <v>178080</v>
      </c>
      <c r="U16" s="75">
        <f t="shared" si="2"/>
        <v>40838</v>
      </c>
      <c r="V16" s="59">
        <f t="shared" si="3"/>
        <v>22.932389937106919</v>
      </c>
      <c r="W16" s="60">
        <f t="shared" si="4"/>
        <v>1.1285977434952794</v>
      </c>
      <c r="X16" s="42">
        <f t="shared" si="5"/>
        <v>362880</v>
      </c>
      <c r="Y16" s="75">
        <f t="shared" si="6"/>
        <v>69678</v>
      </c>
      <c r="Z16" s="59">
        <f t="shared" si="7"/>
        <v>19.201388888888889</v>
      </c>
      <c r="AA16" s="60">
        <f t="shared" si="8"/>
        <v>1.2055606723463039</v>
      </c>
    </row>
    <row r="17" spans="1:27">
      <c r="A17">
        <v>10</v>
      </c>
      <c r="B17" s="48" t="s">
        <v>14</v>
      </c>
      <c r="C17" s="48" t="s">
        <v>372</v>
      </c>
      <c r="D17" s="48"/>
      <c r="E17" s="48">
        <f>8*D5*10</f>
        <v>4160</v>
      </c>
      <c r="F17" s="48">
        <f>8*D5*2</f>
        <v>832</v>
      </c>
      <c r="G17" s="50">
        <f>4*D5*2</f>
        <v>416</v>
      </c>
      <c r="H17" s="50">
        <f>12*D5*10/20</f>
        <v>312</v>
      </c>
      <c r="I17" s="50">
        <f>1*4*240*10/20</f>
        <v>480</v>
      </c>
      <c r="J17" s="50">
        <f>2*12*D5*10</f>
        <v>12480</v>
      </c>
      <c r="K17" s="48"/>
      <c r="L17" s="41"/>
      <c r="M17" s="48">
        <f>12*14*D5*10</f>
        <v>87360</v>
      </c>
      <c r="N17" s="50">
        <f t="shared" ref="N17:N19" si="11">SUM(E17:J17)</f>
        <v>18680</v>
      </c>
      <c r="O17" s="73">
        <f t="shared" ref="O17:O22" si="12">100*N17/M17</f>
        <v>21.382783882783883</v>
      </c>
      <c r="P17" s="48">
        <v>87360</v>
      </c>
      <c r="Q17" s="48">
        <v>18680</v>
      </c>
      <c r="R17" s="59">
        <v>21.382783882783901</v>
      </c>
      <c r="S17" s="60">
        <f t="shared" si="0"/>
        <v>0.99999999999999989</v>
      </c>
      <c r="T17" s="42">
        <f t="shared" si="1"/>
        <v>178080</v>
      </c>
      <c r="U17" s="75">
        <f t="shared" si="2"/>
        <v>24536</v>
      </c>
      <c r="V17" s="59">
        <f t="shared" si="3"/>
        <v>13.778077268643306</v>
      </c>
      <c r="W17" s="60">
        <f t="shared" si="4"/>
        <v>1.1178217821782179</v>
      </c>
      <c r="X17" s="42">
        <f t="shared" si="5"/>
        <v>362880</v>
      </c>
      <c r="Y17" s="75">
        <f t="shared" si="6"/>
        <v>36216</v>
      </c>
      <c r="Z17" s="59">
        <f t="shared" si="7"/>
        <v>9.9801587301587293</v>
      </c>
      <c r="AA17" s="60">
        <f t="shared" si="8"/>
        <v>1.1890797903319745</v>
      </c>
    </row>
    <row r="18" spans="1:27">
      <c r="A18">
        <v>11</v>
      </c>
      <c r="B18" s="48" t="s">
        <v>14</v>
      </c>
      <c r="C18" s="48" t="s">
        <v>374</v>
      </c>
      <c r="D18" s="48"/>
      <c r="E18" s="48">
        <f>8*D5*10</f>
        <v>4160</v>
      </c>
      <c r="F18" s="48">
        <f>8*D5*2</f>
        <v>832</v>
      </c>
      <c r="G18" s="50">
        <f>4*D5*2</f>
        <v>416</v>
      </c>
      <c r="H18" s="50">
        <f>12*D5*10/20</f>
        <v>312</v>
      </c>
      <c r="I18" s="50">
        <f t="shared" ref="I18:I19" si="13">1*4*240*10/20</f>
        <v>480</v>
      </c>
      <c r="J18" s="50">
        <f>2*12*D5*10</f>
        <v>12480</v>
      </c>
      <c r="K18" s="48"/>
      <c r="L18" s="41"/>
      <c r="M18" s="48">
        <f>12*14*D5*10</f>
        <v>87360</v>
      </c>
      <c r="N18" s="50">
        <f t="shared" si="11"/>
        <v>18680</v>
      </c>
      <c r="O18" s="73">
        <f t="shared" si="12"/>
        <v>21.382783882783883</v>
      </c>
      <c r="P18" s="48">
        <v>87360</v>
      </c>
      <c r="Q18" s="48">
        <v>18680</v>
      </c>
      <c r="R18" s="59">
        <v>21.382783882783901</v>
      </c>
      <c r="S18" s="60">
        <f t="shared" si="0"/>
        <v>0.99999999999999989</v>
      </c>
      <c r="T18" s="42">
        <f t="shared" si="1"/>
        <v>178080</v>
      </c>
      <c r="U18" s="75">
        <f t="shared" si="2"/>
        <v>24536</v>
      </c>
      <c r="V18" s="59">
        <f t="shared" si="3"/>
        <v>13.778077268643306</v>
      </c>
      <c r="W18" s="60">
        <f t="shared" si="4"/>
        <v>1.1178217821782179</v>
      </c>
      <c r="X18" s="42">
        <f t="shared" si="5"/>
        <v>362880</v>
      </c>
      <c r="Y18" s="75">
        <f t="shared" si="6"/>
        <v>36216</v>
      </c>
      <c r="Z18" s="59">
        <f t="shared" si="7"/>
        <v>9.9801587301587293</v>
      </c>
      <c r="AA18" s="60">
        <f t="shared" si="8"/>
        <v>1.1890797903319745</v>
      </c>
    </row>
    <row r="19" spans="1:27">
      <c r="A19">
        <v>12</v>
      </c>
      <c r="B19" s="48" t="s">
        <v>14</v>
      </c>
      <c r="C19" s="48" t="s">
        <v>371</v>
      </c>
      <c r="D19" s="48"/>
      <c r="E19" s="48">
        <f>12*D5*10</f>
        <v>6240</v>
      </c>
      <c r="F19" s="48">
        <f>32*D5*2</f>
        <v>3328</v>
      </c>
      <c r="G19" s="50">
        <f>4*D5*2</f>
        <v>416</v>
      </c>
      <c r="H19" s="50">
        <f>12*D5*10/20</f>
        <v>312</v>
      </c>
      <c r="I19" s="50">
        <f t="shared" si="13"/>
        <v>480</v>
      </c>
      <c r="J19" s="50">
        <f>2*12*D5*10</f>
        <v>12480</v>
      </c>
      <c r="K19" s="48"/>
      <c r="L19" s="41"/>
      <c r="M19" s="48">
        <f>12*14*D5*10</f>
        <v>87360</v>
      </c>
      <c r="N19" s="50">
        <f t="shared" si="11"/>
        <v>23256</v>
      </c>
      <c r="O19" s="73">
        <f t="shared" si="12"/>
        <v>26.62087912087912</v>
      </c>
      <c r="P19" s="48">
        <v>87360</v>
      </c>
      <c r="Q19" s="48">
        <v>23256</v>
      </c>
      <c r="R19" s="59">
        <v>26.620879120879099</v>
      </c>
      <c r="S19" s="60">
        <f t="shared" si="0"/>
        <v>1.0000000000000002</v>
      </c>
      <c r="T19" s="42">
        <f t="shared" si="1"/>
        <v>178080</v>
      </c>
      <c r="U19" s="75">
        <f t="shared" si="2"/>
        <v>33864</v>
      </c>
      <c r="V19" s="59">
        <f t="shared" si="3"/>
        <v>19.016172506738545</v>
      </c>
      <c r="W19" s="60">
        <f t="shared" si="4"/>
        <v>1.124859603144889</v>
      </c>
      <c r="X19" s="42">
        <f t="shared" si="5"/>
        <v>362880</v>
      </c>
      <c r="Y19" s="75">
        <f t="shared" si="6"/>
        <v>55224</v>
      </c>
      <c r="Z19" s="59">
        <f t="shared" si="7"/>
        <v>15.218253968253968</v>
      </c>
      <c r="AA19" s="60">
        <f t="shared" si="8"/>
        <v>1.1998315237738673</v>
      </c>
    </row>
    <row r="20" spans="1:27">
      <c r="A20">
        <v>13</v>
      </c>
      <c r="B20" s="48" t="s">
        <v>16</v>
      </c>
      <c r="C20" s="48" t="s">
        <v>372</v>
      </c>
      <c r="D20" s="48"/>
      <c r="E20" s="50">
        <f>8*D5*10</f>
        <v>4160</v>
      </c>
      <c r="F20" s="50">
        <f>8*D5*2</f>
        <v>832</v>
      </c>
      <c r="G20" s="50">
        <f>4*D5*2</f>
        <v>416</v>
      </c>
      <c r="H20" s="50">
        <f>12*52*10/20</f>
        <v>312</v>
      </c>
      <c r="I20" s="50">
        <f>4*240*1/2</f>
        <v>480</v>
      </c>
      <c r="J20" s="50">
        <f>2*12*D5*10</f>
        <v>12480</v>
      </c>
      <c r="K20" s="48"/>
      <c r="L20" s="41"/>
      <c r="M20" s="74">
        <f>D5*12*10*14</f>
        <v>87360</v>
      </c>
      <c r="N20" s="50">
        <f t="shared" ref="N20:N22" si="14">SUM(E20:J20)</f>
        <v>18680</v>
      </c>
      <c r="O20" s="73">
        <f t="shared" si="12"/>
        <v>21.382783882783883</v>
      </c>
      <c r="P20" s="48">
        <v>87360</v>
      </c>
      <c r="Q20" s="48">
        <v>18680</v>
      </c>
      <c r="R20" s="59">
        <v>21.382783882783901</v>
      </c>
      <c r="S20" s="60">
        <f t="shared" si="0"/>
        <v>0.99999999999999989</v>
      </c>
      <c r="T20" s="42">
        <f t="shared" si="1"/>
        <v>178080</v>
      </c>
      <c r="U20" s="75">
        <f t="shared" si="2"/>
        <v>24536</v>
      </c>
      <c r="V20" s="59">
        <f t="shared" si="3"/>
        <v>13.778077268643306</v>
      </c>
      <c r="W20" s="60">
        <f t="shared" si="4"/>
        <v>1.1178217821782179</v>
      </c>
      <c r="X20" s="42">
        <f t="shared" si="5"/>
        <v>362880</v>
      </c>
      <c r="Y20" s="75">
        <f t="shared" si="6"/>
        <v>36216</v>
      </c>
      <c r="Z20" s="59">
        <f t="shared" si="7"/>
        <v>9.9801587301587293</v>
      </c>
      <c r="AA20" s="60">
        <f t="shared" si="8"/>
        <v>1.1890797903319745</v>
      </c>
    </row>
    <row r="21" spans="1:27">
      <c r="A21">
        <v>14</v>
      </c>
      <c r="B21" s="48" t="s">
        <v>16</v>
      </c>
      <c r="C21" s="48" t="s">
        <v>374</v>
      </c>
      <c r="D21" s="48"/>
      <c r="E21" s="50">
        <f>8*D5*10</f>
        <v>4160</v>
      </c>
      <c r="F21" s="50">
        <f>8*D5*2</f>
        <v>832</v>
      </c>
      <c r="G21" s="50">
        <f>4*D5*2</f>
        <v>416</v>
      </c>
      <c r="H21" s="50">
        <f>12*52*10/20</f>
        <v>312</v>
      </c>
      <c r="I21" s="50">
        <f>4*240*1/2</f>
        <v>480</v>
      </c>
      <c r="J21" s="50">
        <f>2*12*D5*10</f>
        <v>12480</v>
      </c>
      <c r="K21" s="48"/>
      <c r="L21" s="41"/>
      <c r="M21" s="74">
        <f>D5*12*10*14</f>
        <v>87360</v>
      </c>
      <c r="N21" s="50">
        <f t="shared" si="14"/>
        <v>18680</v>
      </c>
      <c r="O21" s="73">
        <f t="shared" si="12"/>
        <v>21.382783882783883</v>
      </c>
      <c r="P21" s="48">
        <v>87360</v>
      </c>
      <c r="Q21" s="48">
        <v>18680</v>
      </c>
      <c r="R21" s="59">
        <v>21.382783882783901</v>
      </c>
      <c r="S21" s="60">
        <f t="shared" si="0"/>
        <v>0.99999999999999989</v>
      </c>
      <c r="T21" s="42">
        <f t="shared" si="1"/>
        <v>178080</v>
      </c>
      <c r="U21" s="75">
        <f t="shared" si="2"/>
        <v>24536</v>
      </c>
      <c r="V21" s="59">
        <f t="shared" si="3"/>
        <v>13.778077268643306</v>
      </c>
      <c r="W21" s="60">
        <f t="shared" si="4"/>
        <v>1.1178217821782179</v>
      </c>
      <c r="X21" s="42">
        <f t="shared" si="5"/>
        <v>362880</v>
      </c>
      <c r="Y21" s="75">
        <f t="shared" si="6"/>
        <v>36216</v>
      </c>
      <c r="Z21" s="59">
        <f t="shared" si="7"/>
        <v>9.9801587301587293</v>
      </c>
      <c r="AA21" s="60">
        <f t="shared" si="8"/>
        <v>1.1890797903319745</v>
      </c>
    </row>
    <row r="22" spans="1:27">
      <c r="A22">
        <v>15</v>
      </c>
      <c r="B22" s="48" t="s">
        <v>16</v>
      </c>
      <c r="C22" s="50" t="s">
        <v>371</v>
      </c>
      <c r="D22" s="48"/>
      <c r="E22" s="50">
        <f>8*D5*10</f>
        <v>4160</v>
      </c>
      <c r="F22" s="50">
        <f>32*D5*2</f>
        <v>3328</v>
      </c>
      <c r="G22" s="50">
        <f>4*D5*2</f>
        <v>416</v>
      </c>
      <c r="H22" s="50">
        <f>12*52*10/20</f>
        <v>312</v>
      </c>
      <c r="I22" s="50">
        <f>4*240*1/2</f>
        <v>480</v>
      </c>
      <c r="J22" s="50">
        <f>2*12*D5*10</f>
        <v>12480</v>
      </c>
      <c r="K22" s="48"/>
      <c r="L22" s="41"/>
      <c r="M22" s="74">
        <f>D5*12*10*14</f>
        <v>87360</v>
      </c>
      <c r="N22" s="50">
        <f t="shared" si="14"/>
        <v>21176</v>
      </c>
      <c r="O22" s="73">
        <f t="shared" si="12"/>
        <v>24.239926739926741</v>
      </c>
      <c r="P22" s="48">
        <v>87360</v>
      </c>
      <c r="Q22" s="48">
        <v>21176</v>
      </c>
      <c r="R22" s="59">
        <v>24.239926739926702</v>
      </c>
      <c r="S22" s="60">
        <f t="shared" si="0"/>
        <v>1.0000000000000007</v>
      </c>
      <c r="T22" s="42">
        <f t="shared" si="1"/>
        <v>178080</v>
      </c>
      <c r="U22" s="75">
        <f t="shared" si="2"/>
        <v>29624</v>
      </c>
      <c r="V22" s="59">
        <f t="shared" si="3"/>
        <v>16.635220125786162</v>
      </c>
      <c r="W22" s="60">
        <f t="shared" si="4"/>
        <v>1.1215399492324423</v>
      </c>
      <c r="X22" s="42">
        <f t="shared" si="5"/>
        <v>362880</v>
      </c>
      <c r="Y22" s="75">
        <f t="shared" si="6"/>
        <v>46584</v>
      </c>
      <c r="Z22" s="59">
        <f t="shared" si="7"/>
        <v>12.837301587301587</v>
      </c>
      <c r="AA22" s="60">
        <f t="shared" si="8"/>
        <v>1.1947600628550703</v>
      </c>
    </row>
    <row r="24" spans="1:27" ht="15">
      <c r="B24" s="70" t="s">
        <v>376</v>
      </c>
      <c r="C24" s="44"/>
    </row>
    <row r="25" spans="1:27" ht="15">
      <c r="B25" s="70" t="s">
        <v>377</v>
      </c>
      <c r="C25" s="70"/>
      <c r="D25" s="42" t="s">
        <v>346</v>
      </c>
      <c r="E25" s="42" t="s">
        <v>347</v>
      </c>
      <c r="F25" s="42" t="s">
        <v>348</v>
      </c>
    </row>
    <row r="26" spans="1:27" ht="15">
      <c r="B26" s="70" t="s">
        <v>349</v>
      </c>
      <c r="C26"/>
      <c r="D26" s="42">
        <v>20</v>
      </c>
      <c r="E26" s="42">
        <v>40</v>
      </c>
      <c r="F26" s="42">
        <v>100</v>
      </c>
    </row>
    <row r="27" spans="1:27" ht="15">
      <c r="B27" s="70" t="s">
        <v>378</v>
      </c>
      <c r="C27" s="70"/>
      <c r="D27" s="42">
        <v>106</v>
      </c>
      <c r="E27" s="42">
        <v>216</v>
      </c>
      <c r="F27" s="42" t="s">
        <v>165</v>
      </c>
    </row>
    <row r="28" spans="1:27" ht="15">
      <c r="B28" s="70" t="s">
        <v>351</v>
      </c>
      <c r="C28"/>
      <c r="D28" s="71">
        <v>4.5999999999999999E-2</v>
      </c>
      <c r="E28" s="71">
        <v>2.8000000000000001E-2</v>
      </c>
      <c r="F28" s="42" t="s">
        <v>165</v>
      </c>
    </row>
    <row r="29" spans="1:27" ht="45">
      <c r="B29" s="45"/>
      <c r="C29" s="45" t="s">
        <v>352</v>
      </c>
      <c r="D29" s="45" t="s">
        <v>379</v>
      </c>
      <c r="E29" s="45" t="s">
        <v>298</v>
      </c>
      <c r="F29" s="45" t="s">
        <v>353</v>
      </c>
      <c r="G29" s="45" t="s">
        <v>231</v>
      </c>
      <c r="H29" s="45" t="s">
        <v>308</v>
      </c>
      <c r="I29" s="45" t="s">
        <v>275</v>
      </c>
      <c r="J29" s="45" t="s">
        <v>272</v>
      </c>
      <c r="K29" s="45" t="s">
        <v>380</v>
      </c>
      <c r="L29" s="45"/>
      <c r="M29" s="56" t="s">
        <v>354</v>
      </c>
      <c r="N29" s="56" t="s">
        <v>355</v>
      </c>
      <c r="O29" s="56" t="s">
        <v>356</v>
      </c>
      <c r="P29" s="57" t="s">
        <v>357</v>
      </c>
      <c r="Q29" s="57" t="s">
        <v>358</v>
      </c>
      <c r="R29" s="64" t="s">
        <v>359</v>
      </c>
      <c r="S29" s="65" t="s">
        <v>360</v>
      </c>
      <c r="T29" s="57" t="s">
        <v>381</v>
      </c>
      <c r="U29" s="57" t="s">
        <v>382</v>
      </c>
      <c r="V29" s="64" t="s">
        <v>383</v>
      </c>
      <c r="W29" s="65" t="s">
        <v>364</v>
      </c>
    </row>
    <row r="30" spans="1:27" ht="15.75" thickTop="1">
      <c r="A30">
        <v>1</v>
      </c>
      <c r="B30" s="51" t="s">
        <v>40</v>
      </c>
      <c r="C30" s="51" t="s">
        <v>369</v>
      </c>
      <c r="D30" s="51" t="s">
        <v>384</v>
      </c>
      <c r="E30" s="47">
        <f>24*D27*6</f>
        <v>15264</v>
      </c>
      <c r="F30" s="47">
        <f>40*D27</f>
        <v>4240</v>
      </c>
      <c r="G30" s="47">
        <f>4*D27</f>
        <v>424</v>
      </c>
      <c r="H30" s="47">
        <f>2*4*D27*1/2</f>
        <v>424</v>
      </c>
      <c r="I30" s="47">
        <f>1*4*240</f>
        <v>960</v>
      </c>
      <c r="J30" s="47">
        <f>12*8*6*6</f>
        <v>3456</v>
      </c>
      <c r="K30" s="48">
        <f>12*1*D27*2</f>
        <v>2544</v>
      </c>
      <c r="L30" s="47"/>
      <c r="M30" s="47">
        <f>D27*(12*14*4+12*6*2)</f>
        <v>86496</v>
      </c>
      <c r="N30" s="47">
        <f t="shared" ref="N30" si="15">SUM(E30:J30)</f>
        <v>24768</v>
      </c>
      <c r="O30" s="72">
        <f t="shared" ref="O30:O42" si="16">100*N30/M30</f>
        <v>28.634850166481687</v>
      </c>
      <c r="P30" s="47">
        <f>M30+K30</f>
        <v>89040</v>
      </c>
      <c r="Q30" s="47">
        <f>N30+K30+J31-J30</f>
        <v>39120</v>
      </c>
      <c r="R30" s="72">
        <f t="shared" ref="R30:R42" si="17">100*Q30/P30</f>
        <v>43.935309973045825</v>
      </c>
      <c r="S30" s="60">
        <f>(1-R30/100)/(1-O30/100)</f>
        <v>0.78560319928904687</v>
      </c>
      <c r="T30" s="42">
        <f>P30*$E$27/$D$27</f>
        <v>181440</v>
      </c>
      <c r="U30" s="75">
        <f>SUM(E30:G30,K30)*$E$27/$D$27+H30+I30+12*CEILING($E$27*2*$D$26/$E$26,1)*6</f>
        <v>62728</v>
      </c>
      <c r="V30" s="59">
        <f>100*U30/T30</f>
        <v>34.572310405643741</v>
      </c>
      <c r="W30" s="60">
        <f>(1-V30/100)/(1-R30/100)*(1-$E$28)/(1-$D$28)</f>
        <v>1.1890224358974355</v>
      </c>
    </row>
    <row r="31" spans="1:27">
      <c r="A31">
        <v>2</v>
      </c>
      <c r="B31" s="48" t="s">
        <v>385</v>
      </c>
      <c r="C31" s="48" t="s">
        <v>371</v>
      </c>
      <c r="D31" s="48" t="s">
        <v>386</v>
      </c>
      <c r="E31" s="48">
        <f>2*12*D27*6</f>
        <v>15264</v>
      </c>
      <c r="F31" s="48">
        <f>32*D27</f>
        <v>3392</v>
      </c>
      <c r="G31" s="48">
        <f>4*D27</f>
        <v>424</v>
      </c>
      <c r="H31" s="48">
        <f t="shared" ref="H31:H34" si="18">4*3*52*10/80</f>
        <v>78</v>
      </c>
      <c r="I31" s="48">
        <f t="shared" ref="I31:I34" si="19">4*240*1/2</f>
        <v>480</v>
      </c>
      <c r="J31" s="48">
        <f>2*12*D27*6</f>
        <v>15264</v>
      </c>
      <c r="K31" s="48">
        <f>12*D27</f>
        <v>1272</v>
      </c>
      <c r="L31" s="48"/>
      <c r="M31" s="48">
        <v>100488</v>
      </c>
      <c r="N31" s="48">
        <v>36174</v>
      </c>
      <c r="O31" s="59">
        <v>35.998328158586098</v>
      </c>
      <c r="P31" s="48">
        <f>12*D27*14*4+12*D27*11*2+12*D27</f>
        <v>100488</v>
      </c>
      <c r="Q31" s="48">
        <f>SUM(E31:K31)</f>
        <v>36174</v>
      </c>
      <c r="R31" s="59">
        <f t="shared" si="17"/>
        <v>35.998328158586098</v>
      </c>
      <c r="S31" s="60">
        <f t="shared" ref="S31:S42" si="20">(1-R31/100)/(1-O31/100)</f>
        <v>1</v>
      </c>
      <c r="T31" s="42">
        <f t="shared" ref="T31:T34" si="21">P31*$E$27/$D$27</f>
        <v>204768</v>
      </c>
      <c r="U31" s="75">
        <f t="shared" ref="U31:U34" si="22">SUM(E31:G31,K31)*$E$27/$D$27+H31+I31+12*CEILING($E$27*2*$D$26/$E$26,1)*6</f>
        <v>57582</v>
      </c>
      <c r="V31" s="59">
        <f t="shared" ref="V31:V34" si="23">100*U31/T31</f>
        <v>28.120604781997187</v>
      </c>
      <c r="W31" s="60">
        <f t="shared" ref="W31:W42" si="24">(1-V31/100)/(1-R31/100)*(1-$E$28)/(1-$D$28)</f>
        <v>1.1442765183319343</v>
      </c>
    </row>
    <row r="32" spans="1:27">
      <c r="A32">
        <v>3</v>
      </c>
      <c r="B32" s="48" t="s">
        <v>387</v>
      </c>
      <c r="C32" s="48" t="s">
        <v>371</v>
      </c>
      <c r="D32" s="48" t="s">
        <v>386</v>
      </c>
      <c r="E32" s="48">
        <f>2*12*D27*6</f>
        <v>15264</v>
      </c>
      <c r="F32" s="48">
        <f>40*D27</f>
        <v>4240</v>
      </c>
      <c r="G32" s="48">
        <f>4*D27</f>
        <v>424</v>
      </c>
      <c r="H32" s="48">
        <f t="shared" si="18"/>
        <v>78</v>
      </c>
      <c r="I32" s="48">
        <f t="shared" si="19"/>
        <v>480</v>
      </c>
      <c r="J32" s="48">
        <f>2*12*D27*6</f>
        <v>15264</v>
      </c>
      <c r="K32" s="48">
        <f>12*D27</f>
        <v>1272</v>
      </c>
      <c r="L32" s="48"/>
      <c r="M32" s="48">
        <v>100488</v>
      </c>
      <c r="N32" s="48">
        <v>37022</v>
      </c>
      <c r="O32" s="59">
        <v>36.842210015126199</v>
      </c>
      <c r="P32" s="48">
        <f>12*D27*14*4+12*D27*11*2+12*D27</f>
        <v>100488</v>
      </c>
      <c r="Q32" s="48">
        <f>SUM(E32:K32)</f>
        <v>37022</v>
      </c>
      <c r="R32" s="59">
        <f t="shared" si="17"/>
        <v>36.842210015126184</v>
      </c>
      <c r="S32" s="60">
        <f t="shared" si="20"/>
        <v>1.0000000000000002</v>
      </c>
      <c r="T32" s="42">
        <f t="shared" si="21"/>
        <v>204768</v>
      </c>
      <c r="U32" s="75">
        <f t="shared" si="22"/>
        <v>59310</v>
      </c>
      <c r="V32" s="59">
        <f t="shared" si="23"/>
        <v>28.96448663853727</v>
      </c>
      <c r="W32" s="60">
        <f t="shared" si="24"/>
        <v>1.1459521633630607</v>
      </c>
    </row>
    <row r="33" spans="1:23" ht="12.75" customHeight="1">
      <c r="A33">
        <v>4</v>
      </c>
      <c r="B33" s="48" t="s">
        <v>385</v>
      </c>
      <c r="C33" s="48" t="s">
        <v>372</v>
      </c>
      <c r="D33" s="48" t="s">
        <v>386</v>
      </c>
      <c r="E33" s="48">
        <f>16*D27*6</f>
        <v>10176</v>
      </c>
      <c r="F33" s="48">
        <f>8*D27</f>
        <v>848</v>
      </c>
      <c r="G33" s="48">
        <f>4*D27</f>
        <v>424</v>
      </c>
      <c r="H33" s="48">
        <f t="shared" si="18"/>
        <v>78</v>
      </c>
      <c r="I33" s="48">
        <f t="shared" si="19"/>
        <v>480</v>
      </c>
      <c r="J33" s="48">
        <f>2*12*D27*6</f>
        <v>15264</v>
      </c>
      <c r="K33" s="48">
        <f>12*D27</f>
        <v>1272</v>
      </c>
      <c r="L33" s="41"/>
      <c r="M33" s="48">
        <v>100488</v>
      </c>
      <c r="N33" s="48">
        <v>28542</v>
      </c>
      <c r="O33" s="59">
        <v>28.403391449725301</v>
      </c>
      <c r="P33" s="48">
        <f>12*D27*14*4+12*D27*11*2+12*D27</f>
        <v>100488</v>
      </c>
      <c r="Q33" s="48">
        <f>SUM(E33:K33)</f>
        <v>28542</v>
      </c>
      <c r="R33" s="59">
        <f t="shared" si="17"/>
        <v>28.403391449725341</v>
      </c>
      <c r="S33" s="60">
        <f t="shared" si="20"/>
        <v>0.99999999999999933</v>
      </c>
      <c r="T33" s="42">
        <f t="shared" si="21"/>
        <v>204768</v>
      </c>
      <c r="U33" s="75">
        <f t="shared" si="22"/>
        <v>42030</v>
      </c>
      <c r="V33" s="59">
        <f t="shared" si="23"/>
        <v>20.525668073136426</v>
      </c>
      <c r="W33" s="60">
        <f t="shared" si="24"/>
        <v>1.1309732299224418</v>
      </c>
    </row>
    <row r="34" spans="1:23" ht="12.75" customHeight="1">
      <c r="A34">
        <v>5</v>
      </c>
      <c r="B34" s="48" t="s">
        <v>387</v>
      </c>
      <c r="C34" s="48" t="s">
        <v>372</v>
      </c>
      <c r="D34" s="48" t="s">
        <v>386</v>
      </c>
      <c r="E34" s="48">
        <f>16*D27*6</f>
        <v>10176</v>
      </c>
      <c r="F34" s="48">
        <f>20*D27</f>
        <v>2120</v>
      </c>
      <c r="G34" s="48">
        <f>4*D27</f>
        <v>424</v>
      </c>
      <c r="H34" s="48">
        <f t="shared" si="18"/>
        <v>78</v>
      </c>
      <c r="I34" s="48">
        <f t="shared" si="19"/>
        <v>480</v>
      </c>
      <c r="J34" s="48">
        <f>2*12*D27*6</f>
        <v>15264</v>
      </c>
      <c r="K34" s="48">
        <f>12*D27</f>
        <v>1272</v>
      </c>
      <c r="L34" s="41"/>
      <c r="M34" s="48">
        <v>100488</v>
      </c>
      <c r="N34" s="48">
        <v>29814</v>
      </c>
      <c r="O34" s="59">
        <v>29.669214234535499</v>
      </c>
      <c r="P34" s="48">
        <f>12*D27*14*4+12*D27*11*2+12*D27</f>
        <v>100488</v>
      </c>
      <c r="Q34" s="48">
        <f>SUM(E34:K34)</f>
        <v>29814</v>
      </c>
      <c r="R34" s="59">
        <f t="shared" si="17"/>
        <v>29.669214234535467</v>
      </c>
      <c r="S34" s="60">
        <f t="shared" si="20"/>
        <v>1.0000000000000004</v>
      </c>
      <c r="T34" s="42">
        <f t="shared" si="21"/>
        <v>204768</v>
      </c>
      <c r="U34" s="75">
        <f t="shared" si="22"/>
        <v>44622</v>
      </c>
      <c r="V34" s="59">
        <f t="shared" si="23"/>
        <v>21.791490857946552</v>
      </c>
      <c r="W34" s="60">
        <f t="shared" si="24"/>
        <v>1.1329909160370151</v>
      </c>
    </row>
    <row r="35" spans="1:23" s="41" customFormat="1" ht="15">
      <c r="A35">
        <v>6</v>
      </c>
      <c r="B35" s="48" t="s">
        <v>16</v>
      </c>
      <c r="C35" s="48" t="s">
        <v>372</v>
      </c>
      <c r="D35" s="48" t="s">
        <v>386</v>
      </c>
      <c r="E35" s="50">
        <f>8*D27*6</f>
        <v>5088</v>
      </c>
      <c r="F35" s="50">
        <f>20*D27*2</f>
        <v>4240</v>
      </c>
      <c r="G35" s="50">
        <f>4*D27*2</f>
        <v>848</v>
      </c>
      <c r="H35" s="50">
        <f>12*52*10/20</f>
        <v>312</v>
      </c>
      <c r="I35" s="50">
        <f t="shared" ref="I35:I42" si="25">4*240*1/2</f>
        <v>480</v>
      </c>
      <c r="J35" s="50">
        <f>2*12*D27*6</f>
        <v>15264</v>
      </c>
      <c r="K35" s="74">
        <f>12*1*D27</f>
        <v>1272</v>
      </c>
      <c r="M35" s="74">
        <f>D27*(12*14*4+12*12*2)</f>
        <v>101760</v>
      </c>
      <c r="N35" s="50">
        <f>SUM(E35:K35)+K35</f>
        <v>28776</v>
      </c>
      <c r="O35" s="73">
        <f t="shared" si="16"/>
        <v>28.278301886792452</v>
      </c>
      <c r="P35" s="47">
        <f t="shared" ref="P35:P37" si="26">M35+K35</f>
        <v>103032</v>
      </c>
      <c r="Q35" s="47">
        <f t="shared" ref="Q35:Q37" si="27">N35+K35</f>
        <v>30048</v>
      </c>
      <c r="R35" s="72">
        <f t="shared" si="17"/>
        <v>29.163754949918474</v>
      </c>
      <c r="S35" s="60">
        <f t="shared" si="20"/>
        <v>0.98765432098765438</v>
      </c>
      <c r="T35" s="42">
        <f>P35*$E$27/$D$27</f>
        <v>209952</v>
      </c>
      <c r="U35" s="75">
        <f>SUM(E35:G35,K35)*$E$27/$D$27+H35+I35+12*CEILING($E$27*2*$D$26/$E$26,1)*6</f>
        <v>39672</v>
      </c>
      <c r="V35" s="59">
        <f>100*U35/T35</f>
        <v>18.895747599451305</v>
      </c>
      <c r="W35" s="60">
        <f t="shared" si="24"/>
        <v>1.1665570536007892</v>
      </c>
    </row>
    <row r="36" spans="1:23" s="41" customFormat="1" ht="15">
      <c r="A36">
        <v>7</v>
      </c>
      <c r="B36" s="48" t="s">
        <v>16</v>
      </c>
      <c r="C36" s="48" t="s">
        <v>374</v>
      </c>
      <c r="D36" s="48" t="s">
        <v>386</v>
      </c>
      <c r="E36" s="50">
        <f>8*D27*6</f>
        <v>5088</v>
      </c>
      <c r="F36" s="50">
        <f>40*D27*2</f>
        <v>8480</v>
      </c>
      <c r="G36" s="50">
        <f>4*D27*2</f>
        <v>848</v>
      </c>
      <c r="H36" s="50">
        <f>12*52*10/20</f>
        <v>312</v>
      </c>
      <c r="I36" s="50">
        <f t="shared" si="25"/>
        <v>480</v>
      </c>
      <c r="J36" s="50">
        <f>2*12*D27*6</f>
        <v>15264</v>
      </c>
      <c r="K36" s="74">
        <f>12*1*D27</f>
        <v>1272</v>
      </c>
      <c r="M36" s="74">
        <f>D27*(12*14*4+12*12*2)</f>
        <v>101760</v>
      </c>
      <c r="N36" s="50">
        <f t="shared" ref="N36:N37" si="28">SUM(E36:K36)+K36</f>
        <v>33016</v>
      </c>
      <c r="O36" s="73">
        <f t="shared" si="16"/>
        <v>32.44496855345912</v>
      </c>
      <c r="P36" s="47">
        <f t="shared" si="26"/>
        <v>103032</v>
      </c>
      <c r="Q36" s="47">
        <f t="shared" si="27"/>
        <v>34288</v>
      </c>
      <c r="R36" s="72">
        <f t="shared" si="17"/>
        <v>33.278981287367031</v>
      </c>
      <c r="S36" s="60">
        <f t="shared" si="20"/>
        <v>0.98765432098765427</v>
      </c>
      <c r="T36" s="42">
        <f t="shared" ref="T36:T37" si="29">P36*$E$27/$D$27</f>
        <v>209952</v>
      </c>
      <c r="U36" s="75">
        <f t="shared" ref="U36:U37" si="30">SUM(E36:G36,K36)*$E$27/$D$27+H36+I36+12*CEILING($E$27*2*$D$26/$E$26,1)*6</f>
        <v>48312</v>
      </c>
      <c r="V36" s="59">
        <f t="shared" ref="V36:V37" si="31">100*U36/T36</f>
        <v>23.010973936899862</v>
      </c>
      <c r="W36" s="60">
        <f t="shared" si="24"/>
        <v>1.1756662399627607</v>
      </c>
    </row>
    <row r="37" spans="1:23" s="41" customFormat="1" ht="15">
      <c r="A37">
        <v>8</v>
      </c>
      <c r="B37" s="48" t="s">
        <v>16</v>
      </c>
      <c r="C37" s="48" t="s">
        <v>371</v>
      </c>
      <c r="D37" s="48" t="s">
        <v>386</v>
      </c>
      <c r="E37" s="50">
        <f>8*D27*6</f>
        <v>5088</v>
      </c>
      <c r="F37" s="50">
        <f>40*D27*2</f>
        <v>8480</v>
      </c>
      <c r="G37" s="50">
        <f>4*D27*2</f>
        <v>848</v>
      </c>
      <c r="H37" s="50">
        <f>12*52*10/20</f>
        <v>312</v>
      </c>
      <c r="I37" s="50">
        <f t="shared" si="25"/>
        <v>480</v>
      </c>
      <c r="J37" s="74">
        <f>12*2*6*D27</f>
        <v>15264</v>
      </c>
      <c r="K37" s="74">
        <f>12*1*D27</f>
        <v>1272</v>
      </c>
      <c r="M37" s="74">
        <f>D27*(12*14*4+12*12*2)</f>
        <v>101760</v>
      </c>
      <c r="N37" s="50">
        <f t="shared" si="28"/>
        <v>33016</v>
      </c>
      <c r="O37" s="73">
        <f t="shared" si="16"/>
        <v>32.44496855345912</v>
      </c>
      <c r="P37" s="47">
        <f t="shared" si="26"/>
        <v>103032</v>
      </c>
      <c r="Q37" s="47">
        <f t="shared" si="27"/>
        <v>34288</v>
      </c>
      <c r="R37" s="72">
        <f t="shared" si="17"/>
        <v>33.278981287367031</v>
      </c>
      <c r="S37" s="60">
        <f t="shared" si="20"/>
        <v>0.98765432098765427</v>
      </c>
      <c r="T37" s="42">
        <f t="shared" si="29"/>
        <v>209952</v>
      </c>
      <c r="U37" s="75">
        <f t="shared" si="30"/>
        <v>48312</v>
      </c>
      <c r="V37" s="59">
        <f t="shared" si="31"/>
        <v>23.010973936899862</v>
      </c>
      <c r="W37" s="60">
        <f t="shared" si="24"/>
        <v>1.1756662399627607</v>
      </c>
    </row>
    <row r="38" spans="1:23" s="41" customFormat="1">
      <c r="A38">
        <v>9</v>
      </c>
      <c r="B38" s="48" t="s">
        <v>5</v>
      </c>
      <c r="C38" s="48" t="s">
        <v>372</v>
      </c>
      <c r="D38" s="54" t="s">
        <v>388</v>
      </c>
      <c r="E38" s="48">
        <v>8828</v>
      </c>
      <c r="F38" s="48">
        <f>8*D27*2</f>
        <v>1696</v>
      </c>
      <c r="G38" s="48">
        <f>4*D27*2</f>
        <v>848</v>
      </c>
      <c r="H38" s="48">
        <f>4*3*52*10/20</f>
        <v>312</v>
      </c>
      <c r="I38" s="48">
        <f t="shared" si="25"/>
        <v>480</v>
      </c>
      <c r="J38" s="74">
        <f>12*2*8*D27</f>
        <v>20352</v>
      </c>
      <c r="K38" s="74">
        <f>12*2*D27</f>
        <v>2544</v>
      </c>
      <c r="L38" s="48"/>
      <c r="M38" s="74">
        <f>D27*(12*14*6+12*12*2)</f>
        <v>137376</v>
      </c>
      <c r="N38" s="50">
        <f>SUM(E38:J38)+K38*2</f>
        <v>37604</v>
      </c>
      <c r="O38" s="73">
        <f t="shared" si="16"/>
        <v>27.373049149778709</v>
      </c>
      <c r="P38" s="74">
        <f>D27*(12*14*6+12*11*2)</f>
        <v>134832</v>
      </c>
      <c r="Q38" s="50">
        <f>SUM(E38:K38)</f>
        <v>35060</v>
      </c>
      <c r="R38" s="73">
        <f t="shared" si="17"/>
        <v>26.002729322416045</v>
      </c>
      <c r="S38" s="60">
        <f t="shared" si="20"/>
        <v>1.0188679245283019</v>
      </c>
      <c r="T38" s="42">
        <f t="shared" ref="T38" si="32">P38*$E$27/$D$27</f>
        <v>274752</v>
      </c>
      <c r="U38" s="75">
        <f>SUM(E38:G38,K38)*$E$27/$D$27+H38+I38+12*CEILING($E$27*2*$D$26/$E$26,1)*8</f>
        <v>49885.132075471702</v>
      </c>
      <c r="V38" s="59">
        <f t="shared" ref="V38" si="33">100*U38/T38</f>
        <v>18.15642181875717</v>
      </c>
      <c r="W38" s="60">
        <f t="shared" si="24"/>
        <v>1.1269036800130714</v>
      </c>
    </row>
    <row r="39" spans="1:23" s="41" customFormat="1">
      <c r="A39">
        <v>10</v>
      </c>
      <c r="B39" s="48" t="s">
        <v>5</v>
      </c>
      <c r="C39" s="48" t="s">
        <v>373</v>
      </c>
      <c r="D39" s="54" t="s">
        <v>388</v>
      </c>
      <c r="E39" s="48">
        <v>10408</v>
      </c>
      <c r="F39" s="48">
        <f>16*D27*2</f>
        <v>3392</v>
      </c>
      <c r="G39" s="48">
        <f>4*D27*2</f>
        <v>848</v>
      </c>
      <c r="H39" s="48">
        <f>4*3*D27*10/20</f>
        <v>636</v>
      </c>
      <c r="I39" s="48">
        <f t="shared" si="25"/>
        <v>480</v>
      </c>
      <c r="J39" s="74">
        <f>12*2*8*D27</f>
        <v>20352</v>
      </c>
      <c r="K39" s="74">
        <f>12*2*D27</f>
        <v>2544</v>
      </c>
      <c r="L39" s="48"/>
      <c r="M39" s="74">
        <f>D27*(12*14*6+12*12*2)</f>
        <v>137376</v>
      </c>
      <c r="N39" s="50">
        <f>SUM(E39:J39)+K39*2</f>
        <v>41204</v>
      </c>
      <c r="O39" s="73">
        <f t="shared" si="16"/>
        <v>29.99359422315397</v>
      </c>
      <c r="P39" s="74">
        <f>D27*(12*14*6+12*11*2)</f>
        <v>134832</v>
      </c>
      <c r="Q39" s="50">
        <f>SUM(E39:K39)</f>
        <v>38660</v>
      </c>
      <c r="R39" s="73">
        <f t="shared" si="17"/>
        <v>28.672718642458765</v>
      </c>
      <c r="S39" s="60">
        <f t="shared" si="20"/>
        <v>1.0188679245283019</v>
      </c>
      <c r="T39" s="42">
        <f t="shared" ref="T39:T42" si="34">P39*$E$27/$D$27</f>
        <v>274752</v>
      </c>
      <c r="U39" s="75">
        <f t="shared" ref="U39:U42" si="35">SUM(E39:G39,K39)*$E$27/$D$27+H39+I39+12*CEILING($E$27*2*$D$26/$E$26,1)*8</f>
        <v>56884.75471698113</v>
      </c>
      <c r="V39" s="59">
        <f t="shared" ref="V39:V42" si="36">100*U39/T39</f>
        <v>20.704036628297931</v>
      </c>
      <c r="W39" s="60">
        <f t="shared" si="24"/>
        <v>1.1326958225004105</v>
      </c>
    </row>
    <row r="40" spans="1:23" s="41" customFormat="1">
      <c r="A40">
        <v>11</v>
      </c>
      <c r="B40" s="48" t="s">
        <v>5</v>
      </c>
      <c r="C40" s="48" t="s">
        <v>371</v>
      </c>
      <c r="D40" s="54" t="s">
        <v>388</v>
      </c>
      <c r="E40" s="48">
        <v>15564</v>
      </c>
      <c r="F40" s="48">
        <f>32*D27*2</f>
        <v>6784</v>
      </c>
      <c r="G40" s="48">
        <f>4*D27*2</f>
        <v>848</v>
      </c>
      <c r="H40" s="48">
        <f>4*3*52*10/20</f>
        <v>312</v>
      </c>
      <c r="I40" s="48">
        <f t="shared" si="25"/>
        <v>480</v>
      </c>
      <c r="J40" s="74">
        <f>12*2*8*D27</f>
        <v>20352</v>
      </c>
      <c r="K40" s="74">
        <f>12*2*D27</f>
        <v>2544</v>
      </c>
      <c r="L40" s="48"/>
      <c r="M40" s="74">
        <f>D27*(12*14*6+12*12*2)</f>
        <v>137376</v>
      </c>
      <c r="N40" s="50">
        <f>SUM(E40:J40)+K40*2</f>
        <v>49428</v>
      </c>
      <c r="O40" s="73">
        <f t="shared" si="16"/>
        <v>35.980083857442345</v>
      </c>
      <c r="P40" s="74">
        <f>D27*(12*14*6+12*11*2)</f>
        <v>134832</v>
      </c>
      <c r="Q40" s="50">
        <f>SUM(E40:K40)</f>
        <v>46884</v>
      </c>
      <c r="R40" s="73">
        <f t="shared" si="17"/>
        <v>34.772160911356352</v>
      </c>
      <c r="S40" s="60">
        <f t="shared" si="20"/>
        <v>1.0188679245283019</v>
      </c>
      <c r="T40" s="42">
        <f t="shared" si="34"/>
        <v>274752</v>
      </c>
      <c r="U40" s="75">
        <f t="shared" si="35"/>
        <v>73979.320754716988</v>
      </c>
      <c r="V40" s="59">
        <f t="shared" si="36"/>
        <v>26.925853407697485</v>
      </c>
      <c r="W40" s="60">
        <f t="shared" si="24"/>
        <v>1.1414283397307672</v>
      </c>
    </row>
    <row r="41" spans="1:23" s="41" customFormat="1">
      <c r="A41">
        <v>12</v>
      </c>
      <c r="B41" s="48" t="s">
        <v>5</v>
      </c>
      <c r="C41" s="48" t="s">
        <v>374</v>
      </c>
      <c r="D41" s="54" t="s">
        <v>388</v>
      </c>
      <c r="E41" s="48">
        <v>9114</v>
      </c>
      <c r="F41" s="48">
        <f>8*D27*2</f>
        <v>1696</v>
      </c>
      <c r="G41" s="48">
        <f>4*D27*2</f>
        <v>848</v>
      </c>
      <c r="H41" s="48">
        <f>4*3*52*10/20</f>
        <v>312</v>
      </c>
      <c r="I41" s="48">
        <f t="shared" si="25"/>
        <v>480</v>
      </c>
      <c r="J41" s="74">
        <f>12*2*8*D27</f>
        <v>20352</v>
      </c>
      <c r="K41" s="74">
        <f>12*2*D27</f>
        <v>2544</v>
      </c>
      <c r="L41" s="48"/>
      <c r="M41" s="74">
        <f>D27*(12*14*6+12*12*2)</f>
        <v>137376</v>
      </c>
      <c r="N41" s="50">
        <f>SUM(E41:J41)+K41*2</f>
        <v>37890</v>
      </c>
      <c r="O41" s="73">
        <f t="shared" si="16"/>
        <v>27.581236897274632</v>
      </c>
      <c r="P41" s="74">
        <f>D27*(12*14*6+12*11*2)</f>
        <v>134832</v>
      </c>
      <c r="Q41" s="50">
        <f>SUM(E41:K41)</f>
        <v>35346</v>
      </c>
      <c r="R41" s="73">
        <f t="shared" si="17"/>
        <v>26.214845140619438</v>
      </c>
      <c r="S41" s="60">
        <f t="shared" si="20"/>
        <v>1.0188679245283019</v>
      </c>
      <c r="T41" s="42">
        <f t="shared" si="34"/>
        <v>274752</v>
      </c>
      <c r="U41" s="75">
        <f t="shared" si="35"/>
        <v>50467.924528301883</v>
      </c>
      <c r="V41" s="59">
        <f t="shared" si="36"/>
        <v>18.368537636960561</v>
      </c>
      <c r="W41" s="60">
        <f t="shared" si="24"/>
        <v>1.127214258647941</v>
      </c>
    </row>
    <row r="42" spans="1:23" s="41" customFormat="1">
      <c r="A42">
        <v>13</v>
      </c>
      <c r="B42" s="48" t="s">
        <v>5</v>
      </c>
      <c r="C42" s="48" t="s">
        <v>375</v>
      </c>
      <c r="D42" s="54" t="s">
        <v>388</v>
      </c>
      <c r="E42" s="48">
        <v>9982</v>
      </c>
      <c r="F42" s="48">
        <f>16*D27*2</f>
        <v>3392</v>
      </c>
      <c r="G42" s="48">
        <f>4*D27*2</f>
        <v>848</v>
      </c>
      <c r="H42" s="48">
        <f>4*3*52*10/20</f>
        <v>312</v>
      </c>
      <c r="I42" s="48">
        <f t="shared" si="25"/>
        <v>480</v>
      </c>
      <c r="J42" s="74">
        <f>12*2*8*D27</f>
        <v>20352</v>
      </c>
      <c r="K42" s="74">
        <f>12*2*D27</f>
        <v>2544</v>
      </c>
      <c r="L42" s="48"/>
      <c r="M42" s="74">
        <f>D27*(12*14*6+12*12*2)</f>
        <v>137376</v>
      </c>
      <c r="N42" s="50">
        <f>SUM(E42:J42)+K42*2</f>
        <v>40454</v>
      </c>
      <c r="O42" s="73">
        <f t="shared" si="16"/>
        <v>29.447647332867458</v>
      </c>
      <c r="P42" s="74">
        <f>D27*(12*14*6+12*11*2)</f>
        <v>134832</v>
      </c>
      <c r="Q42" s="50">
        <f>SUM(E42:K42)</f>
        <v>37910</v>
      </c>
      <c r="R42" s="73">
        <f t="shared" si="17"/>
        <v>28.116470867449863</v>
      </c>
      <c r="S42" s="60">
        <f t="shared" si="20"/>
        <v>1.0188679245283021</v>
      </c>
      <c r="T42" s="42">
        <f t="shared" si="34"/>
        <v>274752</v>
      </c>
      <c r="U42" s="75">
        <f t="shared" si="35"/>
        <v>55692.67924528302</v>
      </c>
      <c r="V42" s="59">
        <f t="shared" si="36"/>
        <v>20.270163363790989</v>
      </c>
      <c r="W42" s="60">
        <f t="shared" si="24"/>
        <v>1.1300804809780904</v>
      </c>
    </row>
    <row r="43" spans="1:23" s="41" customFormat="1">
      <c r="A43"/>
      <c r="B43" s="48"/>
      <c r="C43" s="48"/>
      <c r="D43" s="42"/>
      <c r="E43" s="42"/>
      <c r="F43" s="42"/>
      <c r="G43" s="42"/>
      <c r="H43" s="42"/>
      <c r="I43" s="42"/>
      <c r="J43" s="42"/>
      <c r="K43" s="42"/>
      <c r="L43" s="42"/>
      <c r="M43" s="42"/>
      <c r="N43" s="42"/>
      <c r="O43" s="42"/>
      <c r="P43" s="48"/>
      <c r="Q43" s="48"/>
      <c r="R43" s="59"/>
    </row>
    <row r="44" spans="1:23" s="41" customFormat="1">
      <c r="B44" s="48"/>
      <c r="C44" s="48"/>
      <c r="D44" s="48"/>
      <c r="E44" s="48"/>
      <c r="F44" s="48"/>
      <c r="G44" s="48"/>
      <c r="H44" s="48"/>
      <c r="I44" s="48"/>
      <c r="J44" s="48"/>
      <c r="K44" s="48"/>
      <c r="M44" s="42"/>
      <c r="N44" s="42"/>
      <c r="O44" s="80"/>
      <c r="P44" s="48"/>
      <c r="Q44" s="48"/>
      <c r="R44" s="59"/>
    </row>
    <row r="45" spans="1:23" s="41" customFormat="1" ht="15">
      <c r="A45"/>
      <c r="B45" s="70" t="s">
        <v>376</v>
      </c>
      <c r="C45" s="44"/>
      <c r="D45" s="42"/>
      <c r="E45" s="42"/>
      <c r="F45" s="42"/>
      <c r="G45" s="42"/>
      <c r="H45" s="42"/>
      <c r="I45" s="42"/>
      <c r="J45" s="42"/>
      <c r="K45" s="42"/>
      <c r="L45"/>
      <c r="M45" s="42"/>
      <c r="N45" s="42"/>
      <c r="O45" s="60"/>
      <c r="P45" s="48"/>
      <c r="Q45" s="48"/>
      <c r="R45" s="59"/>
    </row>
    <row r="46" spans="1:23" ht="15">
      <c r="B46" s="70" t="s">
        <v>389</v>
      </c>
      <c r="C46" s="70"/>
      <c r="D46" s="42" t="s">
        <v>346</v>
      </c>
      <c r="E46" s="42" t="s">
        <v>347</v>
      </c>
      <c r="F46" s="42" t="s">
        <v>348</v>
      </c>
    </row>
    <row r="47" spans="1:23" ht="15">
      <c r="B47" s="70" t="s">
        <v>349</v>
      </c>
      <c r="C47"/>
      <c r="D47" s="42">
        <v>20</v>
      </c>
      <c r="E47" s="42">
        <v>40</v>
      </c>
      <c r="F47" s="42">
        <v>100</v>
      </c>
    </row>
    <row r="48" spans="1:23" ht="15">
      <c r="B48" s="70" t="s">
        <v>378</v>
      </c>
      <c r="C48" s="70"/>
      <c r="D48" s="42">
        <v>51</v>
      </c>
      <c r="E48" s="42">
        <v>106</v>
      </c>
      <c r="F48" s="42">
        <v>273</v>
      </c>
    </row>
    <row r="49" spans="1:27" ht="15">
      <c r="B49" s="70" t="s">
        <v>351</v>
      </c>
      <c r="C49"/>
      <c r="D49" s="71">
        <v>8.2000000000000003E-2</v>
      </c>
      <c r="E49" s="71">
        <v>4.5999999999999999E-2</v>
      </c>
      <c r="F49" s="71">
        <v>1.72E-2</v>
      </c>
    </row>
    <row r="50" spans="1:27" ht="45">
      <c r="B50" s="45"/>
      <c r="C50" s="45" t="s">
        <v>352</v>
      </c>
      <c r="D50" s="45" t="s">
        <v>379</v>
      </c>
      <c r="E50" s="45" t="s">
        <v>298</v>
      </c>
      <c r="F50" s="45" t="s">
        <v>353</v>
      </c>
      <c r="G50" s="45" t="s">
        <v>231</v>
      </c>
      <c r="H50" s="45" t="s">
        <v>308</v>
      </c>
      <c r="I50" s="45" t="s">
        <v>275</v>
      </c>
      <c r="J50" s="45" t="s">
        <v>272</v>
      </c>
      <c r="K50" s="45" t="s">
        <v>380</v>
      </c>
      <c r="L50" s="45"/>
      <c r="M50" s="56" t="s">
        <v>354</v>
      </c>
      <c r="N50" s="56" t="s">
        <v>355</v>
      </c>
      <c r="O50" s="56" t="s">
        <v>356</v>
      </c>
      <c r="P50" s="57" t="s">
        <v>357</v>
      </c>
      <c r="Q50" s="57" t="s">
        <v>358</v>
      </c>
      <c r="R50" s="64" t="s">
        <v>359</v>
      </c>
      <c r="S50" s="65" t="s">
        <v>360</v>
      </c>
      <c r="T50" s="57" t="s">
        <v>381</v>
      </c>
      <c r="U50" s="57" t="s">
        <v>382</v>
      </c>
      <c r="V50" s="64" t="s">
        <v>383</v>
      </c>
      <c r="W50" s="65" t="s">
        <v>364</v>
      </c>
      <c r="X50" s="57" t="s">
        <v>390</v>
      </c>
      <c r="Y50" s="57" t="s">
        <v>391</v>
      </c>
      <c r="Z50" s="64" t="s">
        <v>392</v>
      </c>
      <c r="AA50" s="65" t="s">
        <v>368</v>
      </c>
    </row>
    <row r="51" spans="1:27" ht="15">
      <c r="A51">
        <v>1</v>
      </c>
      <c r="B51" s="55" t="s">
        <v>20</v>
      </c>
      <c r="C51" s="55" t="s">
        <v>393</v>
      </c>
      <c r="D51" s="76" t="s">
        <v>384</v>
      </c>
      <c r="E51" s="55">
        <f>16*D48*6*2</f>
        <v>9792</v>
      </c>
      <c r="F51" s="77">
        <f>40*D48*2</f>
        <v>4080</v>
      </c>
      <c r="G51" s="77">
        <f>4*D48*2</f>
        <v>408</v>
      </c>
      <c r="H51" s="77">
        <f>3*4*D48*2*1/8</f>
        <v>153</v>
      </c>
      <c r="I51" s="77">
        <f>1*4*240/2</f>
        <v>480</v>
      </c>
      <c r="J51" s="77">
        <f>12*2*6*51*2</f>
        <v>14688</v>
      </c>
      <c r="K51" s="48">
        <f>12*2*D48*2</f>
        <v>2448</v>
      </c>
      <c r="L51" s="55"/>
      <c r="M51" s="77">
        <f>D48*2*(12*14*4+12*6*2)</f>
        <v>83232</v>
      </c>
      <c r="N51" s="77">
        <f>SUM(E51:J51)</f>
        <v>29601</v>
      </c>
      <c r="O51" s="81">
        <f>100*N51/M51</f>
        <v>35.564446366782008</v>
      </c>
      <c r="P51" s="47">
        <f>M51+K51</f>
        <v>85680</v>
      </c>
      <c r="Q51" s="47">
        <f>N51+K51</f>
        <v>32049</v>
      </c>
      <c r="R51" s="72">
        <f t="shared" ref="R51:R68" si="37">100*Q51/P51</f>
        <v>37.405462184873947</v>
      </c>
      <c r="S51" s="60">
        <f>(1-R51/100)/(1-O51/100)</f>
        <v>0.97142857142857142</v>
      </c>
      <c r="T51" s="42">
        <f>P51*$E$48/$D$48</f>
        <v>178080</v>
      </c>
      <c r="U51" s="75">
        <f>SUM(E51:G51,K51)*$E$48/$D$48+H51+I51+12*CEILING($E$48*2*$D$47/$E$47,1)*6*2</f>
        <v>50665</v>
      </c>
      <c r="V51" s="59">
        <f>100*U51/T51</f>
        <v>28.450696316262356</v>
      </c>
      <c r="W51" s="60">
        <f t="shared" ref="W51:W68" si="38">(1-V51/100)/(1-R51/100)*(1-$E$49)/(1-$D$49)</f>
        <v>1.1878857377263148</v>
      </c>
      <c r="X51" s="42">
        <f>P51*$F$48/$D$48</f>
        <v>458640</v>
      </c>
      <c r="Y51" s="75">
        <f>SUM(E51:G51,K51)*$F$48/$D$48+H51+I51+12*CEILING($F$48*2*$D$47/$F$47,1)*6*2</f>
        <v>106017</v>
      </c>
      <c r="Z51" s="59">
        <f>100*Y51/X51</f>
        <v>23.115515436944008</v>
      </c>
      <c r="AA51" s="60">
        <f t="shared" ref="AA51:AA68" si="39">(1-Z51/100)/(1-R51/100)*(1-$F$49)/(1-$D$49)</f>
        <v>1.3149969234211558</v>
      </c>
    </row>
    <row r="52" spans="1:27">
      <c r="A52">
        <v>2</v>
      </c>
      <c r="B52" s="48" t="s">
        <v>385</v>
      </c>
      <c r="C52" s="48" t="s">
        <v>371</v>
      </c>
      <c r="D52" s="49" t="s">
        <v>386</v>
      </c>
      <c r="E52" s="48">
        <f>2*12*D48*6*2</f>
        <v>14688</v>
      </c>
      <c r="F52" s="48">
        <f>32*D48*2</f>
        <v>3264</v>
      </c>
      <c r="G52" s="48">
        <f>4*D48*2</f>
        <v>408</v>
      </c>
      <c r="H52" s="48">
        <f>4*3*D48*10/80</f>
        <v>76.5</v>
      </c>
      <c r="I52" s="48">
        <f>4*240*1/2</f>
        <v>480</v>
      </c>
      <c r="J52" s="48">
        <f>2*12*D48*6*2</f>
        <v>14688</v>
      </c>
      <c r="K52" s="48">
        <f>12*D48*2</f>
        <v>1224</v>
      </c>
      <c r="L52" s="48"/>
      <c r="M52" s="48">
        <v>96696</v>
      </c>
      <c r="N52" s="48">
        <v>34828.5</v>
      </c>
      <c r="O52" s="59">
        <v>36.018552990816602</v>
      </c>
      <c r="P52" s="48">
        <f>12*D48*14*4*2+12*D48*11*2*2+12*D48*2</f>
        <v>96696</v>
      </c>
      <c r="Q52" s="48">
        <f t="shared" ref="Q52:Q60" si="40">SUM(E52:K52)</f>
        <v>34828.5</v>
      </c>
      <c r="R52" s="59">
        <f t="shared" si="37"/>
        <v>36.01855299081658</v>
      </c>
      <c r="S52" s="60">
        <f t="shared" ref="S52:S68" si="41">(1-R52/100)/(1-O52/100)</f>
        <v>1.0000000000000004</v>
      </c>
      <c r="T52" s="42">
        <f t="shared" ref="T52:T54" si="42">P52*$E$48/$D$48</f>
        <v>200976</v>
      </c>
      <c r="U52" s="75">
        <f t="shared" ref="U52:U53" si="43">SUM(E52:G52,K52)*$E$48/$D$48+H52+I52+12*CEILING($E$48*2*$D$47/$E$47,1)*6*2</f>
        <v>56524.5</v>
      </c>
      <c r="V52" s="59">
        <f t="shared" ref="V52:V54" si="44">100*U52/T52</f>
        <v>28.125</v>
      </c>
      <c r="W52" s="60">
        <f t="shared" si="38"/>
        <v>1.1674263547096617</v>
      </c>
      <c r="X52" s="42">
        <f t="shared" ref="X52:X54" si="45">P52*$F$48/$D$48</f>
        <v>517608</v>
      </c>
      <c r="Y52" s="75">
        <f t="shared" ref="Y52:Y53" si="46">SUM(E52:G52,K52)*$F$48/$D$48+H52+I52+12*CEILING($F$48*2*$D$47/$F$47,1)*6*2</f>
        <v>121228.5</v>
      </c>
      <c r="Z52" s="59">
        <f t="shared" ref="Z52:Z54" si="47">100*Y52/X52</f>
        <v>23.420909259516854</v>
      </c>
      <c r="AA52" s="60">
        <f t="shared" si="39"/>
        <v>1.2813819856952358</v>
      </c>
    </row>
    <row r="53" spans="1:27">
      <c r="A53">
        <v>3</v>
      </c>
      <c r="B53" s="48" t="s">
        <v>387</v>
      </c>
      <c r="C53" s="48" t="s">
        <v>371</v>
      </c>
      <c r="D53" s="49" t="s">
        <v>386</v>
      </c>
      <c r="E53" s="48">
        <f>2*12*D48*6*2</f>
        <v>14688</v>
      </c>
      <c r="F53" s="48">
        <f>40*D48*2</f>
        <v>4080</v>
      </c>
      <c r="G53" s="48">
        <f>4*D48*2</f>
        <v>408</v>
      </c>
      <c r="H53" s="48">
        <f>4*3*D48*10/80</f>
        <v>76.5</v>
      </c>
      <c r="I53" s="48">
        <f>4*240*1/2</f>
        <v>480</v>
      </c>
      <c r="J53" s="48">
        <f>2*12*D48*6*2</f>
        <v>14688</v>
      </c>
      <c r="K53" s="48">
        <f>12*D48*2</f>
        <v>1224</v>
      </c>
      <c r="L53" s="48"/>
      <c r="M53" s="48">
        <v>96696</v>
      </c>
      <c r="N53" s="48">
        <v>35644.5</v>
      </c>
      <c r="O53" s="59">
        <v>36.862434847356703</v>
      </c>
      <c r="P53" s="48">
        <f>12*D48*14*4*2+12*D48*11*2*2+12*D48*2</f>
        <v>96696</v>
      </c>
      <c r="Q53" s="48">
        <f t="shared" si="40"/>
        <v>35644.5</v>
      </c>
      <c r="R53" s="59">
        <f t="shared" si="37"/>
        <v>36.862434847356667</v>
      </c>
      <c r="S53" s="60">
        <f t="shared" si="41"/>
        <v>1.0000000000000004</v>
      </c>
      <c r="T53" s="42">
        <f t="shared" si="42"/>
        <v>200976</v>
      </c>
      <c r="U53" s="75">
        <f t="shared" si="43"/>
        <v>58220.5</v>
      </c>
      <c r="V53" s="59">
        <f t="shared" si="44"/>
        <v>28.968881856540083</v>
      </c>
      <c r="W53" s="60">
        <f t="shared" si="38"/>
        <v>1.1691399883704741</v>
      </c>
      <c r="X53" s="42">
        <f t="shared" si="45"/>
        <v>517608</v>
      </c>
      <c r="Y53" s="75">
        <f t="shared" si="46"/>
        <v>125596.5</v>
      </c>
      <c r="Z53" s="59">
        <f t="shared" si="47"/>
        <v>24.264791116056937</v>
      </c>
      <c r="AA53" s="60">
        <f t="shared" si="39"/>
        <v>1.2841994054200143</v>
      </c>
    </row>
    <row r="54" spans="1:27">
      <c r="A54">
        <v>4</v>
      </c>
      <c r="B54" s="48" t="s">
        <v>5</v>
      </c>
      <c r="C54" s="48" t="s">
        <v>372</v>
      </c>
      <c r="D54" s="48" t="s">
        <v>394</v>
      </c>
      <c r="E54" s="48">
        <v>8726</v>
      </c>
      <c r="F54" s="48">
        <f>20*D48*4</f>
        <v>4080</v>
      </c>
      <c r="G54" s="48">
        <f>4*D48*4</f>
        <v>816</v>
      </c>
      <c r="H54" s="48">
        <f>3*4*D48*10/20</f>
        <v>306</v>
      </c>
      <c r="I54" s="48">
        <f t="shared" ref="I54:I58" si="48">1*4*240*1/2</f>
        <v>480</v>
      </c>
      <c r="J54" s="48">
        <f>2*12*D48*8*2</f>
        <v>19584</v>
      </c>
      <c r="K54" s="48">
        <f>1*12*D48*2*2</f>
        <v>2448</v>
      </c>
      <c r="L54" s="41"/>
      <c r="M54" s="48">
        <f>D48*12*(14*6+12*2)*2</f>
        <v>132192</v>
      </c>
      <c r="N54" s="50">
        <f>SUM(E54:J54)+K54*2</f>
        <v>38888</v>
      </c>
      <c r="O54" s="59">
        <f t="shared" ref="O54:O58" si="49">100*N54/M54</f>
        <v>29.417816509319778</v>
      </c>
      <c r="P54" s="48">
        <f>D48*12*(14*6+11*2)*2</f>
        <v>129744</v>
      </c>
      <c r="Q54" s="48">
        <f t="shared" si="40"/>
        <v>36440</v>
      </c>
      <c r="R54" s="59">
        <f t="shared" si="37"/>
        <v>28.086077198174866</v>
      </c>
      <c r="S54" s="60">
        <f t="shared" si="41"/>
        <v>1.0188679245283021</v>
      </c>
      <c r="T54" s="42">
        <f t="shared" si="42"/>
        <v>269664</v>
      </c>
      <c r="U54" s="75">
        <f>SUM(E54:G54,K54)*$E$48/$D$48+H54+I54+12*CEILING($E$48*2*$D$47/$E$47,1)*8*2</f>
        <v>54538.392156862748</v>
      </c>
      <c r="V54" s="59">
        <f t="shared" si="44"/>
        <v>20.224572859878496</v>
      </c>
      <c r="W54" s="60">
        <f t="shared" si="38"/>
        <v>1.1528209285943647</v>
      </c>
      <c r="X54" s="42">
        <f t="shared" si="45"/>
        <v>694512</v>
      </c>
      <c r="Y54" s="75">
        <f>SUM(E54:G54,K54)*$F$48/$D$48+H54+I54+12*CEILING($F$48*2*$D$47/$F$47,1)*8*2</f>
        <v>107927.76470588235</v>
      </c>
      <c r="Z54" s="59">
        <f t="shared" si="47"/>
        <v>15.540086378044203</v>
      </c>
      <c r="AA54" s="60">
        <f t="shared" si="39"/>
        <v>1.2573613892097177</v>
      </c>
    </row>
    <row r="55" spans="1:27">
      <c r="A55">
        <v>5</v>
      </c>
      <c r="B55" s="48" t="s">
        <v>5</v>
      </c>
      <c r="C55" s="48" t="s">
        <v>373</v>
      </c>
      <c r="D55" s="48" t="s">
        <v>394</v>
      </c>
      <c r="E55" s="48">
        <v>10302</v>
      </c>
      <c r="F55" s="48">
        <f>20*D48*4</f>
        <v>4080</v>
      </c>
      <c r="G55" s="48">
        <f>4*D48*4</f>
        <v>816</v>
      </c>
      <c r="H55" s="48">
        <f>3*4*D48*10/20</f>
        <v>306</v>
      </c>
      <c r="I55" s="48">
        <f t="shared" si="48"/>
        <v>480</v>
      </c>
      <c r="J55" s="48">
        <f>2*12*D48*8*2</f>
        <v>19584</v>
      </c>
      <c r="K55" s="48">
        <f>1*12*D48*2*2</f>
        <v>2448</v>
      </c>
      <c r="L55" s="41"/>
      <c r="M55" s="48">
        <f>D48*12*(14*6+12*2)*2</f>
        <v>132192</v>
      </c>
      <c r="N55" s="50">
        <f t="shared" ref="N55:N58" si="50">SUM(E55:J55)+K55*2</f>
        <v>40464</v>
      </c>
      <c r="O55" s="59">
        <f t="shared" si="49"/>
        <v>30.610021786492375</v>
      </c>
      <c r="P55" s="48">
        <f>D48*12*(14*6+11*2)*2</f>
        <v>129744</v>
      </c>
      <c r="Q55" s="48">
        <f t="shared" ref="Q55" si="51">SUM(E55:K55)</f>
        <v>38016</v>
      </c>
      <c r="R55" s="59">
        <f t="shared" si="37"/>
        <v>29.300776914539401</v>
      </c>
      <c r="S55" s="60">
        <f t="shared" si="41"/>
        <v>1.0188679245283017</v>
      </c>
      <c r="T55" s="42">
        <f t="shared" ref="T55:T60" si="52">P55*$E$48/$D$48</f>
        <v>269664</v>
      </c>
      <c r="U55" s="75">
        <f t="shared" ref="U55:U58" si="53">SUM(E55:G55,K55)*$E$48/$D$48+H55+I55+12*CEILING($E$48*2*$D$47/$E$47,1)*8*2</f>
        <v>57814</v>
      </c>
      <c r="V55" s="59">
        <f t="shared" ref="V55:V60" si="54">100*U55/T55</f>
        <v>21.439272576243027</v>
      </c>
      <c r="W55" s="60">
        <f t="shared" si="38"/>
        <v>1.1547728065585208</v>
      </c>
      <c r="X55" s="42">
        <f t="shared" ref="X55:X60" si="55">P55*$F$48/$D$48</f>
        <v>694512</v>
      </c>
      <c r="Y55" s="75">
        <f t="shared" ref="Y55:Y58" si="56">SUM(E55:G55,K55)*$F$48/$D$48+H55+I55+12*CEILING($F$48*2*$D$47/$F$47,1)*8*2</f>
        <v>116364</v>
      </c>
      <c r="Z55" s="59">
        <f t="shared" ref="Z55:Z60" si="57">100*Y55/X55</f>
        <v>16.754786094408736</v>
      </c>
      <c r="AA55" s="60">
        <f t="shared" si="39"/>
        <v>1.2605703819989535</v>
      </c>
    </row>
    <row r="56" spans="1:27">
      <c r="A56">
        <v>6</v>
      </c>
      <c r="B56" s="48" t="s">
        <v>5</v>
      </c>
      <c r="C56" s="48" t="s">
        <v>371</v>
      </c>
      <c r="D56" s="48" t="s">
        <v>394</v>
      </c>
      <c r="E56" s="48">
        <v>15044</v>
      </c>
      <c r="F56" s="48">
        <f>40*D48*4</f>
        <v>8160</v>
      </c>
      <c r="G56" s="48">
        <f>4*D48*4</f>
        <v>816</v>
      </c>
      <c r="H56" s="48">
        <f>3*4*D48*10/20</f>
        <v>306</v>
      </c>
      <c r="I56" s="48">
        <f t="shared" si="48"/>
        <v>480</v>
      </c>
      <c r="J56" s="48">
        <f>2*12*D48*8*2</f>
        <v>19584</v>
      </c>
      <c r="K56" s="48">
        <f>1*12*D48*2*2</f>
        <v>2448</v>
      </c>
      <c r="L56" s="41"/>
      <c r="M56" s="48">
        <f>D48*12*(14*6+12*2)*2</f>
        <v>132192</v>
      </c>
      <c r="N56" s="50">
        <f t="shared" si="50"/>
        <v>49286</v>
      </c>
      <c r="O56" s="59">
        <f t="shared" si="49"/>
        <v>37.283648027112079</v>
      </c>
      <c r="P56" s="48">
        <f>D48*12*(14*6+11*2)*2</f>
        <v>129744</v>
      </c>
      <c r="Q56" s="48">
        <f t="shared" si="40"/>
        <v>46838</v>
      </c>
      <c r="R56" s="59">
        <f t="shared" si="37"/>
        <v>36.10032063139721</v>
      </c>
      <c r="S56" s="60">
        <f t="shared" si="41"/>
        <v>1.0188679245283019</v>
      </c>
      <c r="T56" s="42">
        <f t="shared" si="52"/>
        <v>269664</v>
      </c>
      <c r="U56" s="75">
        <f t="shared" si="53"/>
        <v>76149.92156862744</v>
      </c>
      <c r="V56" s="59">
        <f t="shared" si="54"/>
        <v>28.238816293100836</v>
      </c>
      <c r="W56" s="60">
        <f t="shared" si="38"/>
        <v>1.1670692014532877</v>
      </c>
      <c r="X56" s="42">
        <f t="shared" si="55"/>
        <v>694512</v>
      </c>
      <c r="Y56" s="75">
        <f t="shared" si="56"/>
        <v>163587.64705882352</v>
      </c>
      <c r="Z56" s="59">
        <f t="shared" si="57"/>
        <v>23.554329811266548</v>
      </c>
      <c r="AA56" s="60">
        <f t="shared" si="39"/>
        <v>1.2807863193042155</v>
      </c>
    </row>
    <row r="57" spans="1:27">
      <c r="A57">
        <v>7</v>
      </c>
      <c r="B57" s="48" t="s">
        <v>5</v>
      </c>
      <c r="C57" s="48" t="s">
        <v>374</v>
      </c>
      <c r="D57" s="48" t="s">
        <v>394</v>
      </c>
      <c r="E57" s="48">
        <v>8786</v>
      </c>
      <c r="F57" s="48">
        <f>40*D48*4</f>
        <v>8160</v>
      </c>
      <c r="G57" s="48">
        <f>4*D48*4</f>
        <v>816</v>
      </c>
      <c r="H57" s="48">
        <f>3*4*D48*10/20</f>
        <v>306</v>
      </c>
      <c r="I57" s="48">
        <f t="shared" si="48"/>
        <v>480</v>
      </c>
      <c r="J57" s="48">
        <f>2*12*D48*8*2</f>
        <v>19584</v>
      </c>
      <c r="K57" s="48">
        <f>1*12*D48*2*2</f>
        <v>2448</v>
      </c>
      <c r="L57" s="41"/>
      <c r="M57" s="48">
        <f>D48*12*(14*6+12*2)*2</f>
        <v>132192</v>
      </c>
      <c r="N57" s="50">
        <f t="shared" si="50"/>
        <v>43028</v>
      </c>
      <c r="O57" s="59">
        <f t="shared" si="49"/>
        <v>32.549624788186883</v>
      </c>
      <c r="P57" s="48">
        <f>D48*12*(14*6+11*2)*2</f>
        <v>129744</v>
      </c>
      <c r="Q57" s="48">
        <f t="shared" si="40"/>
        <v>40580</v>
      </c>
      <c r="R57" s="59">
        <f t="shared" si="37"/>
        <v>31.276976199284746</v>
      </c>
      <c r="S57" s="60">
        <f t="shared" si="41"/>
        <v>1.0188679245283019</v>
      </c>
      <c r="T57" s="42">
        <f t="shared" si="52"/>
        <v>269664</v>
      </c>
      <c r="U57" s="75">
        <f t="shared" si="53"/>
        <v>63143.098039215685</v>
      </c>
      <c r="V57" s="59">
        <f t="shared" si="54"/>
        <v>23.415471860988372</v>
      </c>
      <c r="W57" s="60">
        <f t="shared" si="38"/>
        <v>1.1580957671301439</v>
      </c>
      <c r="X57" s="42">
        <f t="shared" si="55"/>
        <v>694512</v>
      </c>
      <c r="Y57" s="75">
        <f t="shared" si="56"/>
        <v>130088.94117647059</v>
      </c>
      <c r="Z57" s="59">
        <f t="shared" si="57"/>
        <v>18.730985379154081</v>
      </c>
      <c r="AA57" s="60">
        <f t="shared" si="39"/>
        <v>1.2660335086436891</v>
      </c>
    </row>
    <row r="58" spans="1:27">
      <c r="A58">
        <v>8</v>
      </c>
      <c r="B58" s="48" t="s">
        <v>5</v>
      </c>
      <c r="C58" s="48" t="s">
        <v>375</v>
      </c>
      <c r="D58" s="48" t="s">
        <v>394</v>
      </c>
      <c r="E58" s="48">
        <v>9480</v>
      </c>
      <c r="F58" s="48">
        <f>40*D48*4</f>
        <v>8160</v>
      </c>
      <c r="G58" s="48">
        <f>4*D48*4</f>
        <v>816</v>
      </c>
      <c r="H58" s="48">
        <f>3*4*D48*10/20</f>
        <v>306</v>
      </c>
      <c r="I58" s="48">
        <f t="shared" si="48"/>
        <v>480</v>
      </c>
      <c r="J58" s="48">
        <f>2*12*D48*8*2</f>
        <v>19584</v>
      </c>
      <c r="K58" s="48">
        <f>1*12*D48*2*2</f>
        <v>2448</v>
      </c>
      <c r="L58" s="41"/>
      <c r="M58" s="48">
        <f>D48*12*(14*6+12*2)*2</f>
        <v>132192</v>
      </c>
      <c r="N58" s="50">
        <f t="shared" si="50"/>
        <v>43722</v>
      </c>
      <c r="O58" s="59">
        <f t="shared" si="49"/>
        <v>33.074618736383442</v>
      </c>
      <c r="P58" s="48">
        <f>D48*12*(14*6+11*2)*2</f>
        <v>129744</v>
      </c>
      <c r="Q58" s="48">
        <f t="shared" ref="Q58" si="58">SUM(E58:K58)</f>
        <v>41274</v>
      </c>
      <c r="R58" s="59">
        <f t="shared" si="37"/>
        <v>31.811875693673695</v>
      </c>
      <c r="S58" s="60">
        <f t="shared" si="41"/>
        <v>1.0188679245283019</v>
      </c>
      <c r="T58" s="42">
        <f t="shared" si="52"/>
        <v>269664</v>
      </c>
      <c r="U58" s="75">
        <f t="shared" si="53"/>
        <v>64585.529411764706</v>
      </c>
      <c r="V58" s="59">
        <f t="shared" si="54"/>
        <v>23.950371355377325</v>
      </c>
      <c r="W58" s="60">
        <f t="shared" si="38"/>
        <v>1.1590283180074337</v>
      </c>
      <c r="X58" s="42">
        <f t="shared" si="55"/>
        <v>694512</v>
      </c>
      <c r="Y58" s="75">
        <f t="shared" si="56"/>
        <v>133803.88235294117</v>
      </c>
      <c r="Z58" s="59">
        <f t="shared" si="57"/>
        <v>19.26588487354303</v>
      </c>
      <c r="AA58" s="60">
        <f t="shared" si="39"/>
        <v>1.2675666726507491</v>
      </c>
    </row>
    <row r="59" spans="1:27">
      <c r="A59">
        <v>9</v>
      </c>
      <c r="B59" s="48" t="s">
        <v>385</v>
      </c>
      <c r="C59" s="48" t="s">
        <v>372</v>
      </c>
      <c r="D59" s="49" t="s">
        <v>386</v>
      </c>
      <c r="E59" s="48">
        <f>16*D48*6*2</f>
        <v>9792</v>
      </c>
      <c r="F59" s="48">
        <f>8*D48*2</f>
        <v>816</v>
      </c>
      <c r="G59" s="48">
        <f>4*D48*2</f>
        <v>408</v>
      </c>
      <c r="H59" s="48">
        <f>4*3*D48*10/80</f>
        <v>76.5</v>
      </c>
      <c r="I59" s="48">
        <f>4*240*1/2</f>
        <v>480</v>
      </c>
      <c r="J59" s="48">
        <f>2*12*D48*6*2</f>
        <v>14688</v>
      </c>
      <c r="K59" s="48">
        <f>12*D48*2</f>
        <v>1224</v>
      </c>
      <c r="L59" s="41"/>
      <c r="M59" s="48">
        <v>96696</v>
      </c>
      <c r="N59" s="48">
        <v>27484.5</v>
      </c>
      <c r="O59" s="59">
        <v>28.423616281955798</v>
      </c>
      <c r="P59" s="48">
        <f>12*D48*14*4*2+12*D48*11*2*2+12*D48*2</f>
        <v>96696</v>
      </c>
      <c r="Q59" s="48">
        <f t="shared" si="40"/>
        <v>27484.5</v>
      </c>
      <c r="R59" s="59">
        <f t="shared" si="37"/>
        <v>28.42361628195582</v>
      </c>
      <c r="S59" s="60">
        <f t="shared" si="41"/>
        <v>0.99999999999999967</v>
      </c>
      <c r="T59" s="42">
        <f t="shared" si="52"/>
        <v>200976</v>
      </c>
      <c r="U59" s="75">
        <f t="shared" ref="U59:U60" si="59">SUM(E59:G59,K59)*$E$48/$D$48+H59+I59+12*CEILING($E$48*2*$D$47/$E$47,1)*6*2</f>
        <v>41260.5</v>
      </c>
      <c r="V59" s="59">
        <f t="shared" si="54"/>
        <v>20.530063291139239</v>
      </c>
      <c r="W59" s="60">
        <f t="shared" si="38"/>
        <v>1.1538219804512253</v>
      </c>
      <c r="X59" s="42">
        <f t="shared" si="55"/>
        <v>517608</v>
      </c>
      <c r="Y59" s="75">
        <f t="shared" ref="Y59:Y60" si="60">SUM(E59:G59,K59)*$F$48/$D$48+H59+I59+12*CEILING($F$48*2*$D$47/$F$47,1)*6*2</f>
        <v>81916.5</v>
      </c>
      <c r="Z59" s="59">
        <f t="shared" si="57"/>
        <v>15.825972550656095</v>
      </c>
      <c r="AA59" s="60">
        <f t="shared" si="39"/>
        <v>1.2590147591079517</v>
      </c>
    </row>
    <row r="60" spans="1:27">
      <c r="A60">
        <v>10</v>
      </c>
      <c r="B60" s="48" t="s">
        <v>387</v>
      </c>
      <c r="C60" s="48" t="s">
        <v>372</v>
      </c>
      <c r="D60" s="49" t="s">
        <v>386</v>
      </c>
      <c r="E60" s="48">
        <f>16*D48*6*2</f>
        <v>9792</v>
      </c>
      <c r="F60" s="48">
        <f>20*D48*2</f>
        <v>2040</v>
      </c>
      <c r="G60" s="48">
        <f>4*D48*2</f>
        <v>408</v>
      </c>
      <c r="H60" s="48">
        <f>4*3*D48*10/80</f>
        <v>76.5</v>
      </c>
      <c r="I60" s="48">
        <f>4*240*1/2</f>
        <v>480</v>
      </c>
      <c r="J60" s="48">
        <f>2*12*D48*6*2</f>
        <v>14688</v>
      </c>
      <c r="K60" s="48">
        <f>12*D48*2</f>
        <v>1224</v>
      </c>
      <c r="L60" s="41"/>
      <c r="M60" s="48">
        <v>96696</v>
      </c>
      <c r="N60" s="48">
        <v>28708.5</v>
      </c>
      <c r="O60" s="59">
        <v>29.6894390667659</v>
      </c>
      <c r="P60" s="48">
        <f>12*D48*14*4*2+12*D48*11*2*2+12*D48*2</f>
        <v>96696</v>
      </c>
      <c r="Q60" s="48">
        <f t="shared" si="40"/>
        <v>28708.5</v>
      </c>
      <c r="R60" s="59">
        <f t="shared" si="37"/>
        <v>29.689439066765946</v>
      </c>
      <c r="S60" s="60">
        <f t="shared" si="41"/>
        <v>0.99999999999999933</v>
      </c>
      <c r="T60" s="42">
        <f t="shared" si="52"/>
        <v>200976</v>
      </c>
      <c r="U60" s="75">
        <f t="shared" si="59"/>
        <v>43804.5</v>
      </c>
      <c r="V60" s="59">
        <f t="shared" si="54"/>
        <v>21.795886075949365</v>
      </c>
      <c r="W60" s="60">
        <f t="shared" si="38"/>
        <v>1.1558852730281299</v>
      </c>
      <c r="X60" s="42">
        <f t="shared" si="55"/>
        <v>517608</v>
      </c>
      <c r="Y60" s="75">
        <f t="shared" si="60"/>
        <v>88468.5</v>
      </c>
      <c r="Z60" s="59">
        <f t="shared" si="57"/>
        <v>17.091795335466223</v>
      </c>
      <c r="AA60" s="60">
        <f t="shared" si="39"/>
        <v>1.2624070601213457</v>
      </c>
    </row>
    <row r="61" spans="1:27" ht="15">
      <c r="A61">
        <v>11</v>
      </c>
      <c r="B61" s="78" t="s">
        <v>20</v>
      </c>
      <c r="C61" s="48" t="s">
        <v>393</v>
      </c>
      <c r="D61" s="54" t="s">
        <v>388</v>
      </c>
      <c r="E61" s="54">
        <f>2*12*D48*8*2</f>
        <v>19584</v>
      </c>
      <c r="F61" s="52">
        <f>32*D48*2</f>
        <v>3264</v>
      </c>
      <c r="G61" s="52">
        <f>4*D48*2</f>
        <v>408</v>
      </c>
      <c r="H61" s="52">
        <f>3*4*D48*1/8</f>
        <v>76.5</v>
      </c>
      <c r="I61" s="52">
        <f>1*4*240/2</f>
        <v>480</v>
      </c>
      <c r="J61" s="52">
        <f>12*2*8*D48*2</f>
        <v>19584</v>
      </c>
      <c r="K61" s="48">
        <f>1*12*D48*2*2</f>
        <v>2448</v>
      </c>
      <c r="L61" s="54"/>
      <c r="M61" s="52">
        <f>12*D48*14*6*2+12*D48*10*2*2</f>
        <v>127296</v>
      </c>
      <c r="N61" s="52">
        <f t="shared" ref="N61" si="61">SUM(E61:J61)</f>
        <v>43396.5</v>
      </c>
      <c r="O61" s="82">
        <f t="shared" ref="O61:O68" si="62">100*N61/M61</f>
        <v>34.091016214177976</v>
      </c>
      <c r="P61" s="47">
        <f>M61+K61</f>
        <v>129744</v>
      </c>
      <c r="Q61" s="47">
        <f>N61+K61</f>
        <v>45844.5</v>
      </c>
      <c r="R61" s="72">
        <f t="shared" si="37"/>
        <v>35.334581945985938</v>
      </c>
      <c r="S61" s="60">
        <f t="shared" si="41"/>
        <v>0.98113207547169834</v>
      </c>
      <c r="T61" s="42">
        <f t="shared" ref="T61:T68" si="63">P61*$E$48/$D$48</f>
        <v>269664</v>
      </c>
      <c r="U61" s="75">
        <f t="shared" ref="U61:U68" si="64">SUM(E61:G61,K61)*$E$48/$D$48+H61+I61+12*CEILING($E$48*2*$D$47/$E$47,1)*8*2</f>
        <v>74332.5</v>
      </c>
      <c r="V61" s="59">
        <f t="shared" ref="V61:V68" si="65">100*U61/T61</f>
        <v>27.564858490566039</v>
      </c>
      <c r="W61" s="60">
        <f t="shared" si="38"/>
        <v>1.1640802388572038</v>
      </c>
      <c r="X61" s="42">
        <f t="shared" ref="X61:X68" si="66">P61*$F$48/$D$48</f>
        <v>694512</v>
      </c>
      <c r="Y61" s="75">
        <f t="shared" ref="Y61:Y68" si="67">SUM(E61:G61,K61)*$F$48/$D$48+H61+I61+12*CEILING($F$48*2*$D$47/$F$47,1)*8*2</f>
        <v>159268.5</v>
      </c>
      <c r="Z61" s="59">
        <f t="shared" ref="Z61:Z68" si="68">100*Y61/X61</f>
        <v>22.93243313290483</v>
      </c>
      <c r="AA61" s="60">
        <f t="shared" si="39"/>
        <v>1.2759158278654819</v>
      </c>
    </row>
    <row r="62" spans="1:27" ht="15">
      <c r="A62">
        <v>12</v>
      </c>
      <c r="B62" s="48" t="s">
        <v>23</v>
      </c>
      <c r="C62" s="48" t="s">
        <v>395</v>
      </c>
      <c r="D62" s="48" t="s">
        <v>394</v>
      </c>
      <c r="E62" s="48">
        <v>10830</v>
      </c>
      <c r="F62" s="48">
        <v>4080</v>
      </c>
      <c r="G62" s="48">
        <v>816</v>
      </c>
      <c r="H62" s="48">
        <v>306</v>
      </c>
      <c r="I62" s="48">
        <v>480</v>
      </c>
      <c r="J62" s="48">
        <v>19584</v>
      </c>
      <c r="K62" s="48">
        <f>1*12*D48*2*2</f>
        <v>2448</v>
      </c>
      <c r="L62" s="41"/>
      <c r="M62" s="48">
        <v>127296</v>
      </c>
      <c r="N62" s="48">
        <f t="shared" ref="N62:N64" si="69">SUM(E62:J62)</f>
        <v>36096</v>
      </c>
      <c r="O62" s="59">
        <f t="shared" si="62"/>
        <v>28.355957767722472</v>
      </c>
      <c r="P62" s="47">
        <f t="shared" ref="P62:P64" si="70">M62+K62</f>
        <v>129744</v>
      </c>
      <c r="Q62" s="47">
        <f t="shared" ref="Q62:Q64" si="71">N62+K62</f>
        <v>38544</v>
      </c>
      <c r="R62" s="72">
        <f t="shared" si="37"/>
        <v>29.70773214946356</v>
      </c>
      <c r="S62" s="60">
        <f t="shared" si="41"/>
        <v>0.98113207547169812</v>
      </c>
      <c r="T62" s="42">
        <f t="shared" si="63"/>
        <v>269664</v>
      </c>
      <c r="U62" s="75">
        <f t="shared" si="64"/>
        <v>58911.411764705881</v>
      </c>
      <c r="V62" s="59">
        <f t="shared" si="65"/>
        <v>21.846227811167186</v>
      </c>
      <c r="W62" s="60">
        <f t="shared" si="38"/>
        <v>1.1554418214654283</v>
      </c>
      <c r="X62" s="42">
        <f t="shared" si="66"/>
        <v>694512</v>
      </c>
      <c r="Y62" s="75">
        <f t="shared" si="67"/>
        <v>119190.35294117648</v>
      </c>
      <c r="Z62" s="59">
        <f t="shared" si="68"/>
        <v>17.161741329332894</v>
      </c>
      <c r="AA62" s="60">
        <f t="shared" si="39"/>
        <v>1.2616702786377709</v>
      </c>
    </row>
    <row r="63" spans="1:27" ht="15">
      <c r="A63">
        <v>13</v>
      </c>
      <c r="B63" s="48" t="s">
        <v>23</v>
      </c>
      <c r="C63" s="48" t="s">
        <v>396</v>
      </c>
      <c r="D63" s="48" t="s">
        <v>394</v>
      </c>
      <c r="E63" s="48">
        <v>12882</v>
      </c>
      <c r="F63" s="48">
        <v>8160</v>
      </c>
      <c r="G63" s="48">
        <v>816</v>
      </c>
      <c r="H63" s="48">
        <v>306</v>
      </c>
      <c r="I63" s="48">
        <v>480</v>
      </c>
      <c r="J63" s="48">
        <v>19584</v>
      </c>
      <c r="K63" s="48">
        <f>1*12*D48*2*2</f>
        <v>2448</v>
      </c>
      <c r="L63" s="41"/>
      <c r="M63" s="48">
        <v>127296</v>
      </c>
      <c r="N63" s="48">
        <f t="shared" si="69"/>
        <v>42228</v>
      </c>
      <c r="O63" s="59">
        <f t="shared" si="62"/>
        <v>33.17307692307692</v>
      </c>
      <c r="P63" s="47">
        <f t="shared" si="70"/>
        <v>129744</v>
      </c>
      <c r="Q63" s="47">
        <f t="shared" si="71"/>
        <v>44676</v>
      </c>
      <c r="R63" s="72">
        <f t="shared" si="37"/>
        <v>34.433962264150942</v>
      </c>
      <c r="S63" s="60">
        <f t="shared" si="41"/>
        <v>0.98113207547169801</v>
      </c>
      <c r="T63" s="42">
        <f t="shared" si="63"/>
        <v>269664</v>
      </c>
      <c r="U63" s="75">
        <f t="shared" si="64"/>
        <v>71656.352941176476</v>
      </c>
      <c r="V63" s="59">
        <f t="shared" si="65"/>
        <v>26.572457925854572</v>
      </c>
      <c r="W63" s="60">
        <f t="shared" si="38"/>
        <v>1.1638198092045395</v>
      </c>
      <c r="X63" s="42">
        <f t="shared" si="66"/>
        <v>694512</v>
      </c>
      <c r="Y63" s="75">
        <f t="shared" si="67"/>
        <v>152014.5882352941</v>
      </c>
      <c r="Z63" s="59">
        <f t="shared" si="68"/>
        <v>21.887971444020273</v>
      </c>
      <c r="AA63" s="60">
        <f t="shared" si="39"/>
        <v>1.2754441429555319</v>
      </c>
    </row>
    <row r="64" spans="1:27" ht="15">
      <c r="A64">
        <v>14</v>
      </c>
      <c r="B64" s="48" t="s">
        <v>23</v>
      </c>
      <c r="C64" s="48" t="s">
        <v>397</v>
      </c>
      <c r="D64" s="48" t="s">
        <v>394</v>
      </c>
      <c r="E64" s="48">
        <v>10142</v>
      </c>
      <c r="F64" s="48">
        <v>8160</v>
      </c>
      <c r="G64" s="48">
        <v>816</v>
      </c>
      <c r="H64" s="48">
        <v>306</v>
      </c>
      <c r="I64" s="48">
        <v>480</v>
      </c>
      <c r="J64" s="48">
        <v>19584</v>
      </c>
      <c r="K64" s="48">
        <f>1*12*D48*2*2</f>
        <v>2448</v>
      </c>
      <c r="L64" s="41"/>
      <c r="M64" s="48">
        <v>127296</v>
      </c>
      <c r="N64" s="48">
        <f t="shared" si="69"/>
        <v>39488</v>
      </c>
      <c r="O64" s="59">
        <f t="shared" si="62"/>
        <v>31.02061337355455</v>
      </c>
      <c r="P64" s="47">
        <f t="shared" si="70"/>
        <v>129744</v>
      </c>
      <c r="Q64" s="47">
        <f t="shared" si="71"/>
        <v>41936</v>
      </c>
      <c r="R64" s="72">
        <f t="shared" si="37"/>
        <v>32.322111234430878</v>
      </c>
      <c r="S64" s="60">
        <f t="shared" si="41"/>
        <v>0.98113207547169823</v>
      </c>
      <c r="T64" s="42">
        <f t="shared" si="63"/>
        <v>269664</v>
      </c>
      <c r="U64" s="75">
        <f t="shared" si="64"/>
        <v>65961.450980392154</v>
      </c>
      <c r="V64" s="59">
        <f t="shared" si="65"/>
        <v>24.460606896134507</v>
      </c>
      <c r="W64" s="60">
        <f t="shared" si="38"/>
        <v>1.1599316065711998</v>
      </c>
      <c r="X64" s="42">
        <f t="shared" si="66"/>
        <v>694512</v>
      </c>
      <c r="Y64" s="75">
        <f t="shared" si="67"/>
        <v>137347.5294117647</v>
      </c>
      <c r="Z64" s="59">
        <f t="shared" si="68"/>
        <v>19.776120414300213</v>
      </c>
      <c r="AA64" s="60">
        <f t="shared" si="39"/>
        <v>1.2690517278339906</v>
      </c>
    </row>
    <row r="65" spans="1:27">
      <c r="A65">
        <v>15</v>
      </c>
      <c r="B65" s="48" t="s">
        <v>14</v>
      </c>
      <c r="C65" s="48" t="s">
        <v>372</v>
      </c>
      <c r="D65" s="48" t="s">
        <v>398</v>
      </c>
      <c r="E65" s="48">
        <f>8*D48*8*2</f>
        <v>6528</v>
      </c>
      <c r="F65" s="48">
        <f>20*D48*4</f>
        <v>4080</v>
      </c>
      <c r="G65" s="48">
        <f>4*D48*4</f>
        <v>816</v>
      </c>
      <c r="H65" s="48">
        <f>3*4*D48*10/20</f>
        <v>306</v>
      </c>
      <c r="I65" s="48">
        <f>1*4*240*1/2</f>
        <v>480</v>
      </c>
      <c r="J65" s="48">
        <f>2*12*D48*8*2</f>
        <v>19584</v>
      </c>
      <c r="K65" s="48">
        <f>0.5*12*D48*2*2</f>
        <v>1224</v>
      </c>
      <c r="L65" s="41"/>
      <c r="M65" s="48">
        <f>D48*12*(14*6+12*2)*2</f>
        <v>132192</v>
      </c>
      <c r="N65" s="50">
        <f>SUM(E65:J65)+K65*2</f>
        <v>34242</v>
      </c>
      <c r="O65" s="59">
        <f t="shared" si="62"/>
        <v>25.903231663035584</v>
      </c>
      <c r="P65" s="48">
        <f>D48*12*(14*6+11.5*2)*2</f>
        <v>130968</v>
      </c>
      <c r="Q65" s="48">
        <f t="shared" ref="Q65:Q67" si="72">SUM(E65:K65)</f>
        <v>33018</v>
      </c>
      <c r="R65" s="59">
        <f t="shared" si="37"/>
        <v>25.210738501007881</v>
      </c>
      <c r="S65" s="60">
        <f t="shared" si="41"/>
        <v>1.0093457943925235</v>
      </c>
      <c r="T65" s="42">
        <f t="shared" si="63"/>
        <v>272208</v>
      </c>
      <c r="U65" s="75">
        <f t="shared" si="64"/>
        <v>47426</v>
      </c>
      <c r="V65" s="59">
        <f t="shared" si="65"/>
        <v>17.422706165873155</v>
      </c>
      <c r="W65" s="60">
        <f t="shared" si="38"/>
        <v>1.14743236345074</v>
      </c>
      <c r="X65" s="42">
        <f t="shared" si="66"/>
        <v>701064</v>
      </c>
      <c r="Y65" s="75">
        <f t="shared" si="67"/>
        <v>89610</v>
      </c>
      <c r="Z65" s="59">
        <f t="shared" si="68"/>
        <v>12.781999931532642</v>
      </c>
      <c r="AA65" s="60">
        <f t="shared" si="39"/>
        <v>1.2485022970903523</v>
      </c>
    </row>
    <row r="66" spans="1:27">
      <c r="A66">
        <v>16</v>
      </c>
      <c r="B66" s="48" t="s">
        <v>14</v>
      </c>
      <c r="C66" s="48" t="s">
        <v>371</v>
      </c>
      <c r="D66" s="48" t="s">
        <v>398</v>
      </c>
      <c r="E66" s="48">
        <f>12*D48*8*2</f>
        <v>9792</v>
      </c>
      <c r="F66" s="48">
        <f>40*D48*4</f>
        <v>8160</v>
      </c>
      <c r="G66" s="48">
        <f>4*D48*4</f>
        <v>816</v>
      </c>
      <c r="H66" s="48">
        <f>3*4*D48*10/20</f>
        <v>306</v>
      </c>
      <c r="I66" s="48">
        <f>1*4*240*1/2</f>
        <v>480</v>
      </c>
      <c r="J66" s="48">
        <f>2*12*D48*8*2</f>
        <v>19584</v>
      </c>
      <c r="K66" s="48">
        <f>0.5*12*D48*2*2</f>
        <v>1224</v>
      </c>
      <c r="L66" s="41"/>
      <c r="M66" s="48">
        <f>D48*12*(14*6+12*2)*2</f>
        <v>132192</v>
      </c>
      <c r="N66" s="50">
        <f t="shared" ref="N66:N67" si="73">SUM(E66:J66)+K66*2</f>
        <v>41586</v>
      </c>
      <c r="O66" s="59">
        <f t="shared" si="62"/>
        <v>31.458787218591141</v>
      </c>
      <c r="P66" s="48">
        <f>D48*12*(14*6+11.5*2)*2</f>
        <v>130968</v>
      </c>
      <c r="Q66" s="48">
        <f t="shared" si="72"/>
        <v>40362</v>
      </c>
      <c r="R66" s="59">
        <f t="shared" si="37"/>
        <v>30.8182151365219</v>
      </c>
      <c r="S66" s="60">
        <f t="shared" si="41"/>
        <v>1.0093457943925235</v>
      </c>
      <c r="T66" s="42">
        <f t="shared" si="63"/>
        <v>272208</v>
      </c>
      <c r="U66" s="75">
        <f t="shared" si="64"/>
        <v>62690</v>
      </c>
      <c r="V66" s="59">
        <f t="shared" si="65"/>
        <v>23.030182801387173</v>
      </c>
      <c r="W66" s="60">
        <f t="shared" si="38"/>
        <v>1.1562037834139018</v>
      </c>
      <c r="X66" s="42">
        <f t="shared" si="66"/>
        <v>701064</v>
      </c>
      <c r="Y66" s="75">
        <f t="shared" si="67"/>
        <v>128922</v>
      </c>
      <c r="Z66" s="59">
        <f t="shared" si="68"/>
        <v>18.38947656704666</v>
      </c>
      <c r="AA66" s="60">
        <f t="shared" si="39"/>
        <v>1.2629229852327661</v>
      </c>
    </row>
    <row r="67" spans="1:27">
      <c r="A67">
        <v>17</v>
      </c>
      <c r="B67" s="48" t="s">
        <v>14</v>
      </c>
      <c r="C67" s="48" t="s">
        <v>374</v>
      </c>
      <c r="D67" s="48" t="s">
        <v>398</v>
      </c>
      <c r="E67" s="48">
        <f>8*D48*8*2</f>
        <v>6528</v>
      </c>
      <c r="F67" s="48">
        <f>40*D48*4</f>
        <v>8160</v>
      </c>
      <c r="G67" s="48">
        <f>4*D48*4</f>
        <v>816</v>
      </c>
      <c r="H67" s="48">
        <f>3*4*D48*10/20</f>
        <v>306</v>
      </c>
      <c r="I67" s="48">
        <f>1*4*240*1/2</f>
        <v>480</v>
      </c>
      <c r="J67" s="48">
        <f>2*12*D48*8*2</f>
        <v>19584</v>
      </c>
      <c r="K67" s="48">
        <f>0.5*12*D48*2*2</f>
        <v>1224</v>
      </c>
      <c r="L67" s="41"/>
      <c r="M67" s="48">
        <f>D48*12*(14*6+12*2)*2</f>
        <v>132192</v>
      </c>
      <c r="N67" s="50">
        <f t="shared" si="73"/>
        <v>38322</v>
      </c>
      <c r="O67" s="59">
        <f t="shared" si="62"/>
        <v>28.989651416122005</v>
      </c>
      <c r="P67" s="48">
        <f>D48*12*(14*6+11.5*2)*2</f>
        <v>130968</v>
      </c>
      <c r="Q67" s="48">
        <f t="shared" si="72"/>
        <v>37098</v>
      </c>
      <c r="R67" s="59">
        <f t="shared" si="37"/>
        <v>28.326003298515669</v>
      </c>
      <c r="S67" s="60">
        <f t="shared" si="41"/>
        <v>1.0093457943925233</v>
      </c>
      <c r="T67" s="42">
        <f t="shared" si="63"/>
        <v>272208</v>
      </c>
      <c r="U67" s="75">
        <f t="shared" si="64"/>
        <v>55906</v>
      </c>
      <c r="V67" s="59">
        <f t="shared" si="65"/>
        <v>20.537970963380943</v>
      </c>
      <c r="W67" s="60">
        <f t="shared" si="38"/>
        <v>1.1521359326728455</v>
      </c>
      <c r="X67" s="42">
        <f t="shared" si="66"/>
        <v>701064</v>
      </c>
      <c r="Y67" s="75">
        <f t="shared" si="67"/>
        <v>111450</v>
      </c>
      <c r="Z67" s="59">
        <f t="shared" si="68"/>
        <v>15.89726472904043</v>
      </c>
      <c r="AA67" s="60">
        <f t="shared" si="39"/>
        <v>1.2562352189197827</v>
      </c>
    </row>
    <row r="68" spans="1:27" ht="26.25">
      <c r="A68">
        <v>18</v>
      </c>
      <c r="B68" s="48" t="s">
        <v>18</v>
      </c>
      <c r="C68" s="48" t="s">
        <v>399</v>
      </c>
      <c r="D68" s="79" t="s">
        <v>400</v>
      </c>
      <c r="E68" s="48">
        <f>24*D48*8*2</f>
        <v>19584</v>
      </c>
      <c r="F68" s="48">
        <f>40*D48*10/5</f>
        <v>4080</v>
      </c>
      <c r="G68" s="48">
        <f>4*D48*10/5</f>
        <v>408</v>
      </c>
      <c r="H68" s="48">
        <f>3*4*D48*10/20</f>
        <v>306</v>
      </c>
      <c r="I68" s="48">
        <f>4*4*240*1/2</f>
        <v>1920</v>
      </c>
      <c r="J68" s="48">
        <f>2*12*D48*8*2</f>
        <v>19584</v>
      </c>
      <c r="K68" s="48">
        <f>2*12*D48*2</f>
        <v>2448</v>
      </c>
      <c r="L68" s="41"/>
      <c r="M68" s="83">
        <f>12*D48*14*7*2+12*D48*6*1*2</f>
        <v>127296</v>
      </c>
      <c r="N68" s="48">
        <f t="shared" ref="N68" si="74">SUM(E68:J68)</f>
        <v>45882</v>
      </c>
      <c r="O68" s="59">
        <f t="shared" si="62"/>
        <v>36.043552036199095</v>
      </c>
      <c r="P68" s="47">
        <f t="shared" ref="P68" si="75">M68+K68</f>
        <v>129744</v>
      </c>
      <c r="Q68" s="47">
        <f t="shared" ref="Q68" si="76">N68+K68</f>
        <v>48330</v>
      </c>
      <c r="R68" s="72">
        <f t="shared" si="37"/>
        <v>37.250277469478355</v>
      </c>
      <c r="S68" s="60">
        <f t="shared" si="41"/>
        <v>0.98113207547169812</v>
      </c>
      <c r="T68" s="42">
        <f t="shared" si="63"/>
        <v>269664</v>
      </c>
      <c r="U68" s="75">
        <f t="shared" si="64"/>
        <v>77698</v>
      </c>
      <c r="V68" s="59">
        <f t="shared" si="65"/>
        <v>28.812893081761008</v>
      </c>
      <c r="W68" s="60">
        <f t="shared" si="38"/>
        <v>1.1789495664136389</v>
      </c>
      <c r="X68" s="42">
        <f t="shared" si="66"/>
        <v>694512</v>
      </c>
      <c r="Y68" s="75">
        <f t="shared" si="67"/>
        <v>165306</v>
      </c>
      <c r="Z68" s="59">
        <f t="shared" si="68"/>
        <v>23.801748565899508</v>
      </c>
      <c r="AA68" s="60">
        <f t="shared" si="39"/>
        <v>1.3000368486992411</v>
      </c>
    </row>
  </sheetData>
  <mergeCells count="1">
    <mergeCell ref="B1:J1"/>
  </mergeCells>
  <phoneticPr fontId="11" type="noConversion"/>
  <pageMargins left="0.69930555555555596" right="0.69930555555555596"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85" zoomScaleNormal="85" workbookViewId="0">
      <selection activeCell="C34" sqref="C34"/>
    </sheetView>
  </sheetViews>
  <sheetFormatPr defaultColWidth="8.85546875" defaultRowHeight="12.75"/>
  <cols>
    <col min="1" max="1" width="10.28515625" customWidth="1"/>
    <col min="2" max="2" width="47.140625" style="42" customWidth="1"/>
    <col min="3" max="3" width="20.140625" style="43" customWidth="1"/>
    <col min="4" max="4" width="10.140625" style="42" customWidth="1"/>
    <col min="5" max="6" width="8.85546875" style="42"/>
    <col min="8" max="8" width="11.140625" customWidth="1"/>
    <col min="9" max="9" width="10.140625" customWidth="1"/>
    <col min="12" max="13" width="11.140625" style="42" customWidth="1"/>
    <col min="14" max="14" width="8.85546875" style="42"/>
    <col min="18" max="18" width="14" customWidth="1"/>
  </cols>
  <sheetData>
    <row r="1" spans="1:18">
      <c r="B1" s="243" t="s">
        <v>401</v>
      </c>
      <c r="C1" s="243"/>
      <c r="D1" s="243"/>
      <c r="E1" s="243"/>
      <c r="F1" s="243"/>
      <c r="G1" s="243"/>
      <c r="H1" s="243"/>
      <c r="I1" s="243"/>
      <c r="J1" s="243"/>
    </row>
    <row r="2" spans="1:18" ht="15">
      <c r="B2" s="44" t="s">
        <v>344</v>
      </c>
    </row>
    <row r="3" spans="1:18" ht="15">
      <c r="B3" s="44" t="s">
        <v>402</v>
      </c>
    </row>
    <row r="5" spans="1:18" ht="15">
      <c r="B5" s="44" t="s">
        <v>350</v>
      </c>
      <c r="C5" s="43">
        <v>52</v>
      </c>
    </row>
    <row r="7" spans="1:18" ht="45">
      <c r="B7" s="45"/>
      <c r="C7" s="46"/>
      <c r="D7" s="45" t="s">
        <v>298</v>
      </c>
      <c r="E7" s="45" t="s">
        <v>339</v>
      </c>
      <c r="F7" s="45" t="s">
        <v>328</v>
      </c>
      <c r="G7" s="45"/>
      <c r="H7" s="45"/>
      <c r="I7" s="45"/>
      <c r="J7" s="45"/>
      <c r="K7" s="45"/>
      <c r="L7" s="56" t="s">
        <v>354</v>
      </c>
      <c r="M7" s="56" t="s">
        <v>355</v>
      </c>
      <c r="N7" s="56" t="s">
        <v>356</v>
      </c>
      <c r="O7" s="57" t="s">
        <v>357</v>
      </c>
      <c r="P7" s="57" t="s">
        <v>358</v>
      </c>
      <c r="Q7" s="64" t="s">
        <v>359</v>
      </c>
      <c r="R7" s="65" t="s">
        <v>360</v>
      </c>
    </row>
    <row r="8" spans="1:18">
      <c r="A8">
        <v>1</v>
      </c>
      <c r="B8" s="48" t="s">
        <v>12</v>
      </c>
      <c r="C8" s="49"/>
      <c r="D8" s="48">
        <f>24*(C5-3)*1+24*C5*9</f>
        <v>12408</v>
      </c>
      <c r="E8" s="48">
        <f>2*12*C5</f>
        <v>1248</v>
      </c>
      <c r="F8" s="48">
        <f>12*14*3*1+12*2*1*9</f>
        <v>720</v>
      </c>
      <c r="G8" s="48"/>
      <c r="H8" s="48"/>
      <c r="I8" s="48"/>
      <c r="J8" s="48"/>
      <c r="K8" s="48"/>
      <c r="L8" s="48">
        <f>12*C5*14*10</f>
        <v>87360</v>
      </c>
      <c r="M8" s="48">
        <f>SUM(D8:F8)</f>
        <v>14376</v>
      </c>
      <c r="N8" s="58">
        <f t="shared" ref="N8:N10" si="0">100*M8/L8</f>
        <v>16.456043956043956</v>
      </c>
      <c r="O8" s="41">
        <v>87360</v>
      </c>
      <c r="P8" s="41">
        <v>14376</v>
      </c>
      <c r="Q8" s="67">
        <v>16.456043956043999</v>
      </c>
      <c r="R8" s="60">
        <f t="shared" ref="R8:R10" si="1">(1-Q8/100)/(1-N8/100)</f>
        <v>0.99999999999999944</v>
      </c>
    </row>
    <row r="9" spans="1:18" s="41" customFormat="1" ht="15">
      <c r="A9">
        <v>2</v>
      </c>
      <c r="B9" s="48" t="s">
        <v>5</v>
      </c>
      <c r="C9" s="49"/>
      <c r="D9" s="48">
        <f>8*(C5-2)*10</f>
        <v>4000</v>
      </c>
      <c r="E9" s="48">
        <f>2*12*C5</f>
        <v>1248</v>
      </c>
      <c r="F9" s="48">
        <f>2*12*(14*8+12*2)</f>
        <v>3264</v>
      </c>
      <c r="L9" s="48">
        <f>12*C5*14*10</f>
        <v>87360</v>
      </c>
      <c r="M9" s="48">
        <f>SUM(D9:F9)</f>
        <v>8512</v>
      </c>
      <c r="N9" s="58">
        <f t="shared" si="0"/>
        <v>9.7435897435897427</v>
      </c>
      <c r="O9" s="41">
        <f t="shared" ref="O9" si="2">L9</f>
        <v>87360</v>
      </c>
      <c r="P9" s="41">
        <f>D9+E9+12*3*14*2+12*1*2*8</f>
        <v>6448</v>
      </c>
      <c r="Q9" s="66">
        <f t="shared" ref="Q9:Q10" si="3">100*P9/O9</f>
        <v>7.3809523809523814</v>
      </c>
      <c r="R9" s="60">
        <f t="shared" si="1"/>
        <v>1.026176948051948</v>
      </c>
    </row>
    <row r="10" spans="1:18" s="184" customFormat="1" ht="13.5" customHeight="1">
      <c r="A10" s="184">
        <v>3</v>
      </c>
      <c r="B10" s="197" t="s">
        <v>519</v>
      </c>
      <c r="C10" s="198"/>
      <c r="D10" s="197">
        <f>8*(C5-3)*2+8*C5*8</f>
        <v>4112</v>
      </c>
      <c r="E10" s="199">
        <f>2*12*C5*2</f>
        <v>2496</v>
      </c>
      <c r="F10" s="197">
        <f>3*12*14*2+1*12*2*8</f>
        <v>1200</v>
      </c>
      <c r="G10" s="200"/>
      <c r="H10" s="200"/>
      <c r="I10" s="200"/>
      <c r="J10" s="200"/>
      <c r="K10" s="200"/>
      <c r="L10" s="199">
        <f>12*C5*14*10</f>
        <v>87360</v>
      </c>
      <c r="M10" s="199">
        <f>SUM(D10:F10)</f>
        <v>7808</v>
      </c>
      <c r="N10" s="201">
        <f t="shared" si="0"/>
        <v>8.937728937728938</v>
      </c>
      <c r="O10" s="202">
        <f>L10</f>
        <v>87360</v>
      </c>
      <c r="P10" s="200">
        <f>M10</f>
        <v>7808</v>
      </c>
      <c r="Q10" s="203">
        <f t="shared" si="3"/>
        <v>8.937728937728938</v>
      </c>
      <c r="R10" s="204">
        <f t="shared" si="1"/>
        <v>1</v>
      </c>
    </row>
    <row r="12" spans="1:18" ht="15">
      <c r="B12" s="44" t="s">
        <v>376</v>
      </c>
    </row>
    <row r="13" spans="1:18" ht="15">
      <c r="B13" s="44" t="s">
        <v>377</v>
      </c>
    </row>
    <row r="15" spans="1:18" ht="15">
      <c r="B15" s="44" t="s">
        <v>350</v>
      </c>
      <c r="C15" s="43">
        <v>106</v>
      </c>
    </row>
    <row r="17" spans="1:18" ht="45.75" thickBot="1">
      <c r="B17" s="45"/>
      <c r="C17" s="46" t="s">
        <v>379</v>
      </c>
      <c r="D17" s="45" t="s">
        <v>298</v>
      </c>
      <c r="E17" s="45" t="s">
        <v>339</v>
      </c>
      <c r="F17" s="45" t="s">
        <v>328</v>
      </c>
      <c r="G17" s="45" t="s">
        <v>314</v>
      </c>
      <c r="H17" s="45"/>
      <c r="I17" s="45"/>
      <c r="J17" s="45"/>
      <c r="K17" s="45"/>
      <c r="L17" s="56" t="s">
        <v>354</v>
      </c>
      <c r="M17" s="56" t="s">
        <v>355</v>
      </c>
      <c r="N17" s="56" t="s">
        <v>356</v>
      </c>
      <c r="O17" s="57" t="s">
        <v>357</v>
      </c>
      <c r="P17" s="57" t="s">
        <v>358</v>
      </c>
      <c r="Q17" s="64" t="s">
        <v>359</v>
      </c>
      <c r="R17" s="65" t="s">
        <v>360</v>
      </c>
    </row>
    <row r="18" spans="1:18" ht="13.5" thickTop="1">
      <c r="A18">
        <v>1</v>
      </c>
      <c r="B18" s="48" t="s">
        <v>12</v>
      </c>
      <c r="C18" s="49" t="s">
        <v>386</v>
      </c>
      <c r="D18" s="48">
        <f>24*(C15-3)*1+24*C15*3</f>
        <v>10104</v>
      </c>
      <c r="E18" s="48">
        <f>2*12*C15</f>
        <v>2544</v>
      </c>
      <c r="F18" s="48">
        <f>12*14*3*1+12*2*1*3</f>
        <v>576</v>
      </c>
      <c r="G18" s="48">
        <f>12*C15</f>
        <v>1272</v>
      </c>
      <c r="H18" s="48"/>
      <c r="I18" s="48"/>
      <c r="J18" s="48"/>
      <c r="K18" s="48"/>
      <c r="L18" s="48">
        <f>12*14*C15*4+12*2*C15*2</f>
        <v>76320</v>
      </c>
      <c r="M18" s="48">
        <f>SUM(D18:F18)</f>
        <v>13224</v>
      </c>
      <c r="N18" s="58">
        <f>100*M18/L18</f>
        <v>17.327044025157232</v>
      </c>
      <c r="O18" s="41">
        <f>12*14*C15*4+12*2*C15*2+12*C15</f>
        <v>77592</v>
      </c>
      <c r="P18" s="41">
        <f>SUM(D18:G18)</f>
        <v>14496</v>
      </c>
      <c r="Q18" s="59">
        <f>100*P18/O18</f>
        <v>18.682338385400556</v>
      </c>
      <c r="R18" s="60">
        <f t="shared" ref="R18:R19" si="4">(1-Q18/100)/(1-N18/100)</f>
        <v>0.98360655737704927</v>
      </c>
    </row>
    <row r="19" spans="1:18">
      <c r="A19">
        <v>2</v>
      </c>
      <c r="B19" s="48" t="s">
        <v>5</v>
      </c>
      <c r="C19" s="48" t="s">
        <v>394</v>
      </c>
      <c r="D19" s="48">
        <f>8*(C15-2)*2</f>
        <v>1664</v>
      </c>
      <c r="E19" s="48">
        <f>2*12*C15*2</f>
        <v>5088</v>
      </c>
      <c r="F19" s="48">
        <f>4*12*14*2</f>
        <v>1344</v>
      </c>
      <c r="G19" s="48">
        <f>12*C15*2</f>
        <v>2544</v>
      </c>
      <c r="H19" s="41"/>
      <c r="I19" s="41"/>
      <c r="J19" s="41"/>
      <c r="K19" s="41"/>
      <c r="L19" s="48">
        <f>C15*12*(14+2)*2</f>
        <v>40704</v>
      </c>
      <c r="M19" s="48">
        <f>SUM(D19:F19)</f>
        <v>8096</v>
      </c>
      <c r="N19" s="58">
        <f>100*M19/L19</f>
        <v>19.889937106918239</v>
      </c>
      <c r="O19" s="41">
        <f>12*14*C15*2+12*2*C15*2+12*1*C15*2</f>
        <v>43248</v>
      </c>
      <c r="P19" s="41">
        <f>SUM(D19:G19)</f>
        <v>10640</v>
      </c>
      <c r="Q19" s="59">
        <f>100*P19/O19</f>
        <v>24.602293747687753</v>
      </c>
      <c r="R19" s="60">
        <f t="shared" si="4"/>
        <v>0.94117647058823539</v>
      </c>
    </row>
    <row r="20" spans="1:18" ht="15">
      <c r="B20" s="44" t="s">
        <v>376</v>
      </c>
      <c r="Q20" s="69"/>
    </row>
    <row r="21" spans="1:18" ht="15">
      <c r="B21" s="44" t="s">
        <v>389</v>
      </c>
      <c r="Q21" s="69"/>
    </row>
    <row r="22" spans="1:18">
      <c r="Q22" s="69"/>
    </row>
    <row r="23" spans="1:18" ht="15">
      <c r="B23" s="44" t="s">
        <v>350</v>
      </c>
      <c r="C23" s="43">
        <v>51</v>
      </c>
      <c r="Q23" s="69"/>
    </row>
    <row r="24" spans="1:18">
      <c r="Q24" s="69"/>
    </row>
    <row r="25" spans="1:18" ht="45">
      <c r="B25" s="45"/>
      <c r="C25" s="46" t="s">
        <v>379</v>
      </c>
      <c r="D25" s="45" t="s">
        <v>298</v>
      </c>
      <c r="E25" s="45" t="s">
        <v>339</v>
      </c>
      <c r="F25" s="45" t="s">
        <v>328</v>
      </c>
      <c r="G25" s="45" t="s">
        <v>314</v>
      </c>
      <c r="H25" s="45"/>
      <c r="I25" s="45"/>
      <c r="J25" s="45"/>
      <c r="K25" s="45"/>
      <c r="L25" s="56" t="s">
        <v>354</v>
      </c>
      <c r="M25" s="56" t="s">
        <v>355</v>
      </c>
      <c r="N25" s="56" t="s">
        <v>356</v>
      </c>
      <c r="O25" s="57" t="s">
        <v>357</v>
      </c>
      <c r="P25" s="57" t="s">
        <v>358</v>
      </c>
      <c r="Q25" s="64" t="s">
        <v>359</v>
      </c>
      <c r="R25" s="65" t="s">
        <v>360</v>
      </c>
    </row>
    <row r="26" spans="1:18" ht="15">
      <c r="A26">
        <v>1</v>
      </c>
      <c r="B26" s="52" t="s">
        <v>20</v>
      </c>
      <c r="C26" s="53" t="s">
        <v>384</v>
      </c>
      <c r="D26" s="54">
        <f>4*2*(C23-4)*6*2</f>
        <v>4512</v>
      </c>
      <c r="E26" s="54">
        <f>12*2*(C23-4)*2</f>
        <v>2256</v>
      </c>
      <c r="F26" s="54">
        <f>(4*12*14*4)*2+(4*12*6*2)*2</f>
        <v>6528</v>
      </c>
      <c r="G26" s="48">
        <f>12*C23*2*2</f>
        <v>2448</v>
      </c>
      <c r="H26" s="54"/>
      <c r="I26" s="54"/>
      <c r="J26" s="54"/>
      <c r="K26" s="54"/>
      <c r="L26" s="54">
        <f>C23*2*(12*14*4+12*6*2)</f>
        <v>83232</v>
      </c>
      <c r="M26" s="61">
        <f>SUM(D26:F26)</f>
        <v>13296</v>
      </c>
      <c r="N26" s="62">
        <f t="shared" ref="N26" si="5">100*M26/L26</f>
        <v>15.974625144175317</v>
      </c>
      <c r="O26" s="41">
        <f>L26+G26</f>
        <v>85680</v>
      </c>
      <c r="P26" s="41">
        <f>SUM(D26,E26,G26)+(12*14*3*1+12*2*1*3)*2</f>
        <v>10368</v>
      </c>
      <c r="Q26" s="68">
        <f>100*P26/O26</f>
        <v>12.100840336134453</v>
      </c>
      <c r="R26" s="60">
        <f>(1-Q26/100)/(1-N26/100)</f>
        <v>1.0461025590744191</v>
      </c>
    </row>
    <row r="27" spans="1:18" ht="12.75" customHeight="1">
      <c r="A27">
        <v>2</v>
      </c>
      <c r="B27" s="48" t="s">
        <v>12</v>
      </c>
      <c r="C27" s="49" t="s">
        <v>386</v>
      </c>
      <c r="D27" s="48">
        <f>(24*(C23-3)*1+24*C23*3)*2</f>
        <v>9648</v>
      </c>
      <c r="E27" s="48">
        <f>2*12*C23*2</f>
        <v>2448</v>
      </c>
      <c r="F27" s="48">
        <f>(12*14*3*1+12*2*1*3)*2</f>
        <v>1152</v>
      </c>
      <c r="G27" s="48">
        <f>12*C23*2</f>
        <v>1224</v>
      </c>
      <c r="H27" s="48"/>
      <c r="I27" s="48"/>
      <c r="J27" s="48"/>
      <c r="K27" s="48"/>
      <c r="L27" s="48">
        <v>74664</v>
      </c>
      <c r="M27" s="48">
        <v>14472</v>
      </c>
      <c r="N27" s="58">
        <v>19.382835101253601</v>
      </c>
      <c r="O27" s="41">
        <f>12*14*C23*4*2+12*2*C23*2*2+12*C23*2</f>
        <v>74664</v>
      </c>
      <c r="P27" s="41">
        <f>SUM(D27:G27)</f>
        <v>14472</v>
      </c>
      <c r="Q27" s="59">
        <f>100*P27/O27</f>
        <v>19.382835101253615</v>
      </c>
      <c r="R27" s="60">
        <f t="shared" ref="R27:R30" si="6">(1-Q27/100)/(1-N27/100)</f>
        <v>0.99999999999999989</v>
      </c>
    </row>
    <row r="28" spans="1:18" ht="12.75" customHeight="1">
      <c r="A28">
        <v>3</v>
      </c>
      <c r="B28" s="48" t="s">
        <v>5</v>
      </c>
      <c r="C28" s="48" t="s">
        <v>394</v>
      </c>
      <c r="D28" s="48">
        <f>8*(C23-2)*2*2</f>
        <v>1568</v>
      </c>
      <c r="E28" s="48">
        <f>2*12*C23*2*2</f>
        <v>4896</v>
      </c>
      <c r="F28" s="48">
        <f>2*12*14*4</f>
        <v>1344</v>
      </c>
      <c r="G28" s="48">
        <f>12*C23*2*2</f>
        <v>2448</v>
      </c>
      <c r="H28" s="41"/>
      <c r="I28" s="41"/>
      <c r="J28" s="41"/>
      <c r="K28" s="41"/>
      <c r="L28" s="48">
        <f>C23*12*(14+2)*4</f>
        <v>39168</v>
      </c>
      <c r="M28" s="48">
        <f>SUM(D28:F28)</f>
        <v>7808</v>
      </c>
      <c r="N28" s="58">
        <f>100*M28/L28</f>
        <v>19.934640522875817</v>
      </c>
      <c r="O28" s="41">
        <f>L28+G28</f>
        <v>41616</v>
      </c>
      <c r="P28" s="41">
        <f>SUM(D28,E28,G28)+(12*14*3*2)*2</f>
        <v>10928</v>
      </c>
      <c r="Q28" s="68">
        <f>100*P28/O28</f>
        <v>26.259131103421762</v>
      </c>
      <c r="R28" s="60">
        <f t="shared" si="6"/>
        <v>0.92100840336134449</v>
      </c>
    </row>
    <row r="29" spans="1:18" ht="12.75" customHeight="1">
      <c r="A29">
        <v>4</v>
      </c>
      <c r="B29" s="48" t="s">
        <v>20</v>
      </c>
      <c r="C29" s="55" t="s">
        <v>388</v>
      </c>
      <c r="D29" s="55">
        <f>4*2*(C23-4)*4*2</f>
        <v>3008</v>
      </c>
      <c r="E29" s="55">
        <f>12*(C23-4)*2*2</f>
        <v>2256</v>
      </c>
      <c r="F29" s="55">
        <f>(4*12*14*2)*2+(4*12*2*2)*2</f>
        <v>3072</v>
      </c>
      <c r="G29" s="48">
        <f>12*C23*2*2</f>
        <v>2448</v>
      </c>
      <c r="H29" s="55"/>
      <c r="I29" s="55"/>
      <c r="J29" s="55"/>
      <c r="K29" s="55"/>
      <c r="L29" s="55">
        <f>C23*2*(12*14*2+12*2*2)</f>
        <v>39168</v>
      </c>
      <c r="M29" s="55">
        <f>SUM(D29:F29)</f>
        <v>8336</v>
      </c>
      <c r="N29" s="63">
        <f t="shared" ref="N29:N30" si="7">100*M29/L29</f>
        <v>21.282679738562091</v>
      </c>
      <c r="O29" s="41">
        <f>L29+G29</f>
        <v>41616</v>
      </c>
      <c r="P29" s="41">
        <f>SUM(D29,E29,G29)+(12*14*3*1+12*2)*2</f>
        <v>8768</v>
      </c>
      <c r="Q29" s="68">
        <f>100*P29/O29</f>
        <v>21.068819684736638</v>
      </c>
      <c r="R29" s="60">
        <f t="shared" si="6"/>
        <v>1.0027168106474558</v>
      </c>
    </row>
    <row r="30" spans="1:18" s="184" customFormat="1">
      <c r="A30" s="184">
        <v>5</v>
      </c>
      <c r="B30" s="205" t="s">
        <v>520</v>
      </c>
      <c r="C30" s="48" t="s">
        <v>398</v>
      </c>
      <c r="D30" s="205">
        <f>8*(C23-3)*4</f>
        <v>1536</v>
      </c>
      <c r="E30" s="205">
        <f>2*12*C23*4</f>
        <v>4896</v>
      </c>
      <c r="F30" s="205">
        <f>3*12*14*4</f>
        <v>2016</v>
      </c>
      <c r="G30" s="50">
        <f>12*C23*1/2*4</f>
        <v>1224</v>
      </c>
      <c r="L30" s="205">
        <f>12*C23*4*(14+2)</f>
        <v>39168</v>
      </c>
      <c r="M30" s="54">
        <f>SUM(D30:F30)</f>
        <v>8448</v>
      </c>
      <c r="N30" s="54">
        <f t="shared" si="7"/>
        <v>21.568627450980394</v>
      </c>
      <c r="O30" s="202">
        <f>L30+G30</f>
        <v>40392</v>
      </c>
      <c r="P30" s="184">
        <f>SUM(D30:G30)</f>
        <v>9672</v>
      </c>
      <c r="Q30" s="206">
        <f>100*P30/O30</f>
        <v>23.945335710041594</v>
      </c>
      <c r="R30" s="204">
        <f t="shared" si="6"/>
        <v>0.96969696969696972</v>
      </c>
    </row>
  </sheetData>
  <mergeCells count="1">
    <mergeCell ref="B1:J1"/>
  </mergeCells>
  <phoneticPr fontId="11" type="noConversion"/>
  <pageMargins left="0.69930555555555596" right="0.69930555555555596"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8"/>
  <sheetViews>
    <sheetView zoomScale="85" zoomScaleNormal="85" workbookViewId="0">
      <pane xSplit="8" ySplit="2" topLeftCell="I57" activePane="bottomRight" state="frozen"/>
      <selection pane="topRight"/>
      <selection pane="bottomLeft"/>
      <selection pane="bottomRight" activeCell="K53" sqref="K53:K66"/>
    </sheetView>
  </sheetViews>
  <sheetFormatPr defaultColWidth="9.28515625" defaultRowHeight="12.75"/>
  <cols>
    <col min="1" max="1" width="9.28515625" style="3"/>
    <col min="2" max="2" width="5.7109375" style="3" customWidth="1"/>
    <col min="3" max="3" width="26.5703125" style="3" customWidth="1"/>
    <col min="4" max="4" width="18.85546875" style="3" customWidth="1"/>
    <col min="5" max="5" width="11.28515625" style="3" customWidth="1"/>
    <col min="6" max="6" width="9.28515625" style="3" customWidth="1"/>
    <col min="7" max="7" width="16.42578125" style="3" customWidth="1"/>
    <col min="8" max="8" width="6.42578125" style="3" customWidth="1"/>
    <col min="9" max="13" width="9.28515625" style="2" customWidth="1"/>
    <col min="14" max="15" width="9.28515625" style="3" customWidth="1"/>
    <col min="16" max="19" width="9.28515625" style="3"/>
    <col min="20" max="25" width="9.28515625" style="2" customWidth="1"/>
    <col min="26" max="27" width="9.28515625" style="3" customWidth="1"/>
    <col min="28" max="16384" width="9.28515625" style="3"/>
  </cols>
  <sheetData>
    <row r="1" spans="1:28" s="1" customFormat="1" ht="48" customHeight="1">
      <c r="A1" s="6" t="s">
        <v>403</v>
      </c>
      <c r="B1" s="1" t="s">
        <v>404</v>
      </c>
      <c r="C1" s="1" t="s">
        <v>405</v>
      </c>
      <c r="D1" s="1" t="s">
        <v>406</v>
      </c>
      <c r="E1" s="1" t="s">
        <v>57</v>
      </c>
      <c r="F1" s="1" t="s">
        <v>67</v>
      </c>
      <c r="G1" s="245" t="s">
        <v>407</v>
      </c>
      <c r="H1" s="245"/>
      <c r="I1" s="15" t="s">
        <v>5</v>
      </c>
      <c r="J1" s="33" t="s">
        <v>12</v>
      </c>
      <c r="K1" s="15" t="s">
        <v>14</v>
      </c>
      <c r="L1" s="15" t="s">
        <v>16</v>
      </c>
      <c r="M1" s="33" t="s">
        <v>20</v>
      </c>
      <c r="N1" s="1" t="s">
        <v>408</v>
      </c>
      <c r="O1" s="1" t="s">
        <v>409</v>
      </c>
      <c r="P1" s="1" t="s">
        <v>410</v>
      </c>
      <c r="S1" s="6" t="s">
        <v>411</v>
      </c>
      <c r="T1" s="15" t="str">
        <f>I1</f>
        <v>Huawei</v>
      </c>
      <c r="U1" s="33" t="s">
        <v>12</v>
      </c>
      <c r="V1" s="15" t="str">
        <f>K1</f>
        <v>CAICT</v>
      </c>
      <c r="W1" s="15" t="str">
        <f>L1</f>
        <v>OPPO</v>
      </c>
      <c r="X1" s="33" t="s">
        <v>20</v>
      </c>
      <c r="Y1" s="15" t="s">
        <v>23</v>
      </c>
      <c r="Z1" s="1" t="s">
        <v>408</v>
      </c>
      <c r="AA1" s="1" t="s">
        <v>409</v>
      </c>
      <c r="AB1" s="1" t="s">
        <v>410</v>
      </c>
    </row>
    <row r="2" spans="1:28" ht="12.75" customHeight="1">
      <c r="A2" s="246" t="s">
        <v>412</v>
      </c>
      <c r="B2" s="9" t="s">
        <v>49</v>
      </c>
      <c r="C2" s="9"/>
      <c r="D2" s="9" t="s">
        <v>49</v>
      </c>
      <c r="E2" s="9"/>
      <c r="F2" s="9"/>
      <c r="G2" s="9"/>
      <c r="H2" s="9"/>
      <c r="I2" s="16"/>
      <c r="J2" s="16"/>
      <c r="K2" s="16"/>
      <c r="L2" s="16"/>
      <c r="M2" s="16"/>
      <c r="N2" s="26"/>
      <c r="O2" s="13"/>
      <c r="P2" s="13"/>
      <c r="S2" s="247" t="s">
        <v>412</v>
      </c>
      <c r="T2" s="16"/>
      <c r="U2" s="16"/>
      <c r="V2" s="16"/>
      <c r="W2" s="16"/>
      <c r="X2" s="16"/>
      <c r="Y2" s="16"/>
      <c r="Z2" s="26"/>
      <c r="AA2" s="13"/>
      <c r="AB2" s="13"/>
    </row>
    <row r="3" spans="1:28" ht="25.5">
      <c r="A3" s="246"/>
      <c r="B3" s="3" t="s">
        <v>413</v>
      </c>
      <c r="C3" s="3" t="s">
        <v>414</v>
      </c>
      <c r="D3" s="3" t="s">
        <v>415</v>
      </c>
      <c r="E3" s="3" t="s">
        <v>416</v>
      </c>
      <c r="G3" s="3" t="s">
        <v>417</v>
      </c>
      <c r="H3" s="17">
        <v>3.3</v>
      </c>
      <c r="I3" s="2">
        <v>6.5940000000000003</v>
      </c>
      <c r="J3" s="2">
        <v>6.89</v>
      </c>
      <c r="K3" s="2">
        <v>6.8872999999999998</v>
      </c>
      <c r="L3" s="2">
        <v>6.54</v>
      </c>
      <c r="M3" s="2">
        <v>4.21</v>
      </c>
      <c r="N3" s="5">
        <f>AVERAGE(I3:M3)</f>
        <v>6.2242599999999992</v>
      </c>
      <c r="O3" s="3">
        <f>SQRT(VAR(I3:M3))</f>
        <v>1.1375933535319234</v>
      </c>
      <c r="P3" s="3">
        <f>COUNT(I3:M3)</f>
        <v>5</v>
      </c>
      <c r="S3" s="246"/>
      <c r="T3" s="2">
        <v>6.5369999999999999</v>
      </c>
      <c r="U3" s="2">
        <v>7.06</v>
      </c>
      <c r="W3" s="2">
        <v>7.09</v>
      </c>
      <c r="X3" s="2">
        <v>4.79</v>
      </c>
      <c r="Z3" s="5">
        <f>AVERAGE(T3:Y3)</f>
        <v>6.3692499999999992</v>
      </c>
      <c r="AA3" s="3">
        <f>SQRT(VAR(T3:Y3))</f>
        <v>1.0830184285905191</v>
      </c>
      <c r="AB3" s="3">
        <f>COUNT(T3:Y3)</f>
        <v>4</v>
      </c>
    </row>
    <row r="4" spans="1:28" ht="25.5">
      <c r="A4" s="246"/>
      <c r="G4" s="11" t="s">
        <v>418</v>
      </c>
      <c r="H4" s="11">
        <v>0.12</v>
      </c>
      <c r="I4" s="20">
        <v>0.13800000000000001</v>
      </c>
      <c r="J4" s="20">
        <v>0.19900000000000001</v>
      </c>
      <c r="K4" s="20">
        <v>0.13420000000000001</v>
      </c>
      <c r="L4" s="20">
        <v>0.22</v>
      </c>
      <c r="M4" s="20">
        <v>0.15</v>
      </c>
      <c r="N4" s="27">
        <f>AVERAGE(I4:M4)</f>
        <v>0.16824</v>
      </c>
      <c r="O4" s="11">
        <f>SQRT(VAR(I4:M4))</f>
        <v>3.8830245943078816E-2</v>
      </c>
      <c r="P4" s="11">
        <f>COUNT(I4:M4)</f>
        <v>5</v>
      </c>
      <c r="S4" s="246"/>
      <c r="T4" s="20">
        <v>0.13</v>
      </c>
      <c r="U4" s="20">
        <v>0.189</v>
      </c>
      <c r="V4" s="20"/>
      <c r="W4" s="20">
        <v>0.23</v>
      </c>
      <c r="X4" s="20">
        <v>0.16</v>
      </c>
      <c r="Y4" s="20"/>
      <c r="Z4" s="27">
        <f>AVERAGE(T4:Y4)</f>
        <v>0.17725000000000002</v>
      </c>
      <c r="AA4" s="11">
        <f>SQRT(VAR(T4:Y4))</f>
        <v>4.2625305473001113E-2</v>
      </c>
      <c r="AB4" s="11">
        <f>COUNT(T4:Y4)</f>
        <v>4</v>
      </c>
    </row>
    <row r="5" spans="1:28">
      <c r="A5" s="246"/>
      <c r="N5" s="5"/>
      <c r="S5" s="246"/>
      <c r="Z5" s="5"/>
    </row>
    <row r="6" spans="1:28" ht="25.5">
      <c r="A6" s="246"/>
      <c r="B6" s="3" t="s">
        <v>413</v>
      </c>
      <c r="C6" s="3" t="s">
        <v>420</v>
      </c>
      <c r="D6" s="29" t="s">
        <v>421</v>
      </c>
      <c r="E6" s="3" t="s">
        <v>416</v>
      </c>
      <c r="G6" s="3" t="s">
        <v>417</v>
      </c>
      <c r="H6" s="17">
        <v>3.3</v>
      </c>
      <c r="I6" s="2">
        <v>7.476</v>
      </c>
      <c r="N6" s="5">
        <f>AVERAGE(I6:M6)</f>
        <v>7.476</v>
      </c>
      <c r="O6" s="3" t="e">
        <f>SQRT(VAR(I6:M6))</f>
        <v>#DIV/0!</v>
      </c>
      <c r="P6" s="3">
        <f>COUNT(I6:M6)</f>
        <v>1</v>
      </c>
      <c r="S6" s="246"/>
      <c r="T6" s="2">
        <v>7.4560000000000004</v>
      </c>
      <c r="Z6" s="5">
        <f>AVERAGE(T6:Y6)</f>
        <v>7.4560000000000004</v>
      </c>
      <c r="AA6" s="3" t="e">
        <f>SQRT(VAR(T6:Y6))</f>
        <v>#DIV/0!</v>
      </c>
      <c r="AB6" s="3">
        <f>COUNT(T6:Y6)</f>
        <v>1</v>
      </c>
    </row>
    <row r="7" spans="1:28" ht="25.5">
      <c r="A7" s="246"/>
      <c r="G7" s="11" t="s">
        <v>418</v>
      </c>
      <c r="H7" s="11">
        <v>0.12</v>
      </c>
      <c r="I7" s="20">
        <v>0.151</v>
      </c>
      <c r="J7" s="20"/>
      <c r="K7" s="20"/>
      <c r="L7" s="20"/>
      <c r="M7" s="20"/>
      <c r="N7" s="27">
        <f>AVERAGE(I7:M7)</f>
        <v>0.151</v>
      </c>
      <c r="O7" s="11" t="e">
        <f>SQRT(VAR(I7:M7))</f>
        <v>#DIV/0!</v>
      </c>
      <c r="P7" s="11">
        <f>COUNT(I7:M7)</f>
        <v>1</v>
      </c>
      <c r="S7" s="246"/>
      <c r="T7" s="20">
        <v>0.156</v>
      </c>
      <c r="U7" s="20"/>
      <c r="V7" s="20"/>
      <c r="W7" s="20"/>
      <c r="X7" s="20"/>
      <c r="Y7" s="20"/>
      <c r="Z7" s="27">
        <f>AVERAGE(T7:Y7)</f>
        <v>0.156</v>
      </c>
      <c r="AA7" s="11" t="e">
        <f>SQRT(VAR(T7:Y7))</f>
        <v>#DIV/0!</v>
      </c>
      <c r="AB7" s="11">
        <f>COUNT(T7:Y7)</f>
        <v>1</v>
      </c>
    </row>
    <row r="8" spans="1:28">
      <c r="A8" s="246"/>
      <c r="N8" s="5"/>
      <c r="S8" s="246"/>
      <c r="Z8" s="5"/>
    </row>
    <row r="9" spans="1:28" ht="25.5">
      <c r="A9" s="246"/>
      <c r="B9" s="3" t="s">
        <v>413</v>
      </c>
      <c r="C9" s="3" t="s">
        <v>414</v>
      </c>
      <c r="D9" s="3" t="s">
        <v>422</v>
      </c>
      <c r="E9" s="3" t="s">
        <v>416</v>
      </c>
      <c r="G9" s="3" t="s">
        <v>417</v>
      </c>
      <c r="H9" s="17">
        <v>3.3</v>
      </c>
      <c r="N9" s="5" t="e">
        <f t="shared" ref="N9:N16" si="0">AVERAGE(I9:M9)</f>
        <v>#DIV/0!</v>
      </c>
      <c r="O9" s="3" t="e">
        <f t="shared" ref="O9:O16" si="1">SQRT(VAR(I9:M9))</f>
        <v>#DIV/0!</v>
      </c>
      <c r="P9" s="3">
        <f t="shared" ref="P9:P16" si="2">COUNT(I9:M9)</f>
        <v>0</v>
      </c>
      <c r="S9" s="246"/>
      <c r="Z9" s="5" t="e">
        <f>AVERAGE(T9:Y9)</f>
        <v>#DIV/0!</v>
      </c>
      <c r="AA9" s="3" t="e">
        <f>SQRT(VAR(T9:Y9))</f>
        <v>#DIV/0!</v>
      </c>
      <c r="AB9" s="3">
        <f>COUNT(T9:Y9)</f>
        <v>0</v>
      </c>
    </row>
    <row r="10" spans="1:28" ht="25.5">
      <c r="A10" s="246"/>
      <c r="G10" s="11" t="s">
        <v>418</v>
      </c>
      <c r="H10" s="11">
        <v>0.12</v>
      </c>
      <c r="I10" s="20"/>
      <c r="J10" s="20"/>
      <c r="K10" s="20"/>
      <c r="L10" s="20"/>
      <c r="M10" s="20"/>
      <c r="N10" s="27" t="e">
        <f t="shared" si="0"/>
        <v>#DIV/0!</v>
      </c>
      <c r="O10" s="11" t="e">
        <f t="shared" si="1"/>
        <v>#DIV/0!</v>
      </c>
      <c r="P10" s="11">
        <f t="shared" si="2"/>
        <v>0</v>
      </c>
      <c r="S10" s="246"/>
      <c r="T10" s="20"/>
      <c r="U10" s="20"/>
      <c r="V10" s="20"/>
      <c r="W10" s="20"/>
      <c r="X10" s="20"/>
      <c r="Y10" s="20"/>
      <c r="Z10" s="27" t="e">
        <f>AVERAGE(T10:Y10)</f>
        <v>#DIV/0!</v>
      </c>
      <c r="AA10" s="11" t="e">
        <f>SQRT(VAR(T10:Y10))</f>
        <v>#DIV/0!</v>
      </c>
      <c r="AB10" s="11">
        <f>COUNT(T10:Y10)</f>
        <v>0</v>
      </c>
    </row>
    <row r="11" spans="1:28">
      <c r="A11" s="246"/>
      <c r="N11" s="5" t="e">
        <f t="shared" si="0"/>
        <v>#DIV/0!</v>
      </c>
      <c r="O11" s="3" t="e">
        <f t="shared" si="1"/>
        <v>#DIV/0!</v>
      </c>
      <c r="P11" s="3">
        <f t="shared" si="2"/>
        <v>0</v>
      </c>
      <c r="S11" s="246"/>
      <c r="Z11" s="5"/>
    </row>
    <row r="12" spans="1:28" ht="25.5">
      <c r="A12" s="246"/>
      <c r="B12" s="3" t="s">
        <v>413</v>
      </c>
      <c r="C12" s="3" t="s">
        <v>423</v>
      </c>
      <c r="D12" s="3" t="s">
        <v>424</v>
      </c>
      <c r="E12" s="3" t="s">
        <v>416</v>
      </c>
      <c r="G12" s="3" t="s">
        <v>417</v>
      </c>
      <c r="H12" s="17">
        <v>3.3</v>
      </c>
      <c r="N12" s="5" t="e">
        <f t="shared" si="0"/>
        <v>#DIV/0!</v>
      </c>
      <c r="O12" s="3" t="e">
        <f t="shared" si="1"/>
        <v>#DIV/0!</v>
      </c>
      <c r="P12" s="3">
        <f t="shared" si="2"/>
        <v>0</v>
      </c>
      <c r="S12" s="246"/>
      <c r="Z12" s="5" t="e">
        <f>AVERAGE(T12:Y12)</f>
        <v>#DIV/0!</v>
      </c>
      <c r="AA12" s="3" t="e">
        <f>SQRT(VAR(T12:Y12))</f>
        <v>#DIV/0!</v>
      </c>
      <c r="AB12" s="3">
        <f>COUNT(T12:Y12)</f>
        <v>0</v>
      </c>
    </row>
    <row r="13" spans="1:28" ht="25.5">
      <c r="A13" s="246"/>
      <c r="G13" s="11" t="s">
        <v>418</v>
      </c>
      <c r="H13" s="11">
        <v>0.12</v>
      </c>
      <c r="I13" s="20"/>
      <c r="J13" s="20"/>
      <c r="K13" s="20"/>
      <c r="L13" s="20"/>
      <c r="M13" s="20"/>
      <c r="N13" s="27" t="e">
        <f t="shared" si="0"/>
        <v>#DIV/0!</v>
      </c>
      <c r="O13" s="11" t="e">
        <f t="shared" si="1"/>
        <v>#DIV/0!</v>
      </c>
      <c r="P13" s="11">
        <f t="shared" si="2"/>
        <v>0</v>
      </c>
      <c r="S13" s="246"/>
      <c r="T13" s="20"/>
      <c r="U13" s="20"/>
      <c r="V13" s="20"/>
      <c r="W13" s="20"/>
      <c r="X13" s="20"/>
      <c r="Y13" s="20"/>
      <c r="Z13" s="27" t="e">
        <f>AVERAGE(T13:Y13)</f>
        <v>#DIV/0!</v>
      </c>
      <c r="AA13" s="11" t="e">
        <f>SQRT(VAR(T13:Y13))</f>
        <v>#DIV/0!</v>
      </c>
      <c r="AB13" s="11">
        <f>COUNT(T13:Y13)</f>
        <v>0</v>
      </c>
    </row>
    <row r="14" spans="1:28">
      <c r="A14" s="246"/>
      <c r="N14" s="5" t="e">
        <f t="shared" si="0"/>
        <v>#DIV/0!</v>
      </c>
      <c r="O14" s="3" t="e">
        <f t="shared" si="1"/>
        <v>#DIV/0!</v>
      </c>
      <c r="P14" s="3">
        <f t="shared" si="2"/>
        <v>0</v>
      </c>
      <c r="S14" s="246"/>
      <c r="Z14" s="5"/>
    </row>
    <row r="15" spans="1:28" ht="25.5">
      <c r="A15" s="246"/>
      <c r="B15" s="3" t="s">
        <v>413</v>
      </c>
      <c r="C15" s="3" t="s">
        <v>425</v>
      </c>
      <c r="D15" s="29" t="s">
        <v>421</v>
      </c>
      <c r="E15" s="3" t="s">
        <v>416</v>
      </c>
      <c r="G15" s="3" t="s">
        <v>417</v>
      </c>
      <c r="H15" s="17">
        <v>3.3</v>
      </c>
      <c r="J15" s="2">
        <v>9.58</v>
      </c>
      <c r="N15" s="5">
        <f t="shared" si="0"/>
        <v>9.58</v>
      </c>
      <c r="O15" s="3" t="e">
        <f t="shared" si="1"/>
        <v>#DIV/0!</v>
      </c>
      <c r="P15" s="3">
        <f t="shared" si="2"/>
        <v>1</v>
      </c>
      <c r="S15" s="246"/>
      <c r="U15" s="2">
        <v>10.02</v>
      </c>
      <c r="Z15" s="5">
        <f>AVERAGE(T15:Y15)</f>
        <v>10.02</v>
      </c>
      <c r="AA15" s="3" t="e">
        <f>SQRT(VAR(T15:Y15))</f>
        <v>#DIV/0!</v>
      </c>
      <c r="AB15" s="3">
        <f>COUNT(T15:Y15)</f>
        <v>1</v>
      </c>
    </row>
    <row r="16" spans="1:28" ht="25.5">
      <c r="A16" s="246"/>
      <c r="G16" s="11" t="s">
        <v>418</v>
      </c>
      <c r="H16" s="11">
        <v>0.12</v>
      </c>
      <c r="I16" s="20"/>
      <c r="J16" s="20">
        <v>0.251</v>
      </c>
      <c r="K16" s="20"/>
      <c r="L16" s="20"/>
      <c r="M16" s="20"/>
      <c r="N16" s="27">
        <f t="shared" si="0"/>
        <v>0.251</v>
      </c>
      <c r="O16" s="11" t="e">
        <f t="shared" si="1"/>
        <v>#DIV/0!</v>
      </c>
      <c r="P16" s="11">
        <f t="shared" si="2"/>
        <v>1</v>
      </c>
      <c r="S16" s="246"/>
      <c r="T16" s="20"/>
      <c r="U16" s="20">
        <v>0.27</v>
      </c>
      <c r="V16" s="20"/>
      <c r="W16" s="20"/>
      <c r="X16" s="20"/>
      <c r="Y16" s="20"/>
      <c r="Z16" s="27">
        <f>AVERAGE(T16:Y16)</f>
        <v>0.27</v>
      </c>
      <c r="AA16" s="11" t="e">
        <f>SQRT(VAR(T16:Y16))</f>
        <v>#DIV/0!</v>
      </c>
      <c r="AB16" s="11">
        <f>COUNT(T16:Y16)</f>
        <v>1</v>
      </c>
    </row>
    <row r="17" spans="1:28">
      <c r="A17" s="246"/>
      <c r="N17" s="5"/>
      <c r="S17" s="246"/>
      <c r="Z17" s="5"/>
    </row>
    <row r="18" spans="1:28" ht="25.5">
      <c r="A18" s="246"/>
      <c r="B18" s="3" t="s">
        <v>413</v>
      </c>
      <c r="C18" s="3" t="s">
        <v>414</v>
      </c>
      <c r="D18" s="3" t="s">
        <v>426</v>
      </c>
      <c r="E18" s="3" t="s">
        <v>416</v>
      </c>
      <c r="G18" s="3" t="s">
        <v>417</v>
      </c>
      <c r="H18" s="17">
        <v>3.3</v>
      </c>
      <c r="N18" s="5" t="e">
        <f>AVERAGE(I18:M18)</f>
        <v>#DIV/0!</v>
      </c>
      <c r="O18" s="3" t="e">
        <f>SQRT(VAR(I18:M18))</f>
        <v>#DIV/0!</v>
      </c>
      <c r="P18" s="3">
        <f>COUNT(I18:M18)</f>
        <v>0</v>
      </c>
      <c r="S18" s="246"/>
      <c r="Z18" s="5" t="e">
        <f>AVERAGE(T18:Y18)</f>
        <v>#DIV/0!</v>
      </c>
      <c r="AA18" s="3" t="e">
        <f>SQRT(VAR(T18:Y18))</f>
        <v>#DIV/0!</v>
      </c>
      <c r="AB18" s="3">
        <f>COUNT(T18:Y18)</f>
        <v>0</v>
      </c>
    </row>
    <row r="19" spans="1:28" ht="25.5">
      <c r="A19" s="246"/>
      <c r="G19" s="11" t="s">
        <v>418</v>
      </c>
      <c r="H19" s="11">
        <v>0.12</v>
      </c>
      <c r="I19" s="20"/>
      <c r="J19" s="20"/>
      <c r="K19" s="20"/>
      <c r="L19" s="20"/>
      <c r="M19" s="20"/>
      <c r="N19" s="27" t="e">
        <f>AVERAGE(I19:M19)</f>
        <v>#DIV/0!</v>
      </c>
      <c r="O19" s="11" t="e">
        <f>SQRT(VAR(I19:M19))</f>
        <v>#DIV/0!</v>
      </c>
      <c r="P19" s="11">
        <f>COUNT(I19:M19)</f>
        <v>0</v>
      </c>
      <c r="S19" s="246"/>
      <c r="T19" s="20"/>
      <c r="U19" s="20"/>
      <c r="V19" s="20"/>
      <c r="W19" s="20"/>
      <c r="X19" s="20"/>
      <c r="Y19" s="20"/>
      <c r="Z19" s="27" t="e">
        <f>AVERAGE(T19:Y19)</f>
        <v>#DIV/0!</v>
      </c>
      <c r="AA19" s="11" t="e">
        <f>SQRT(VAR(T19:Y19))</f>
        <v>#DIV/0!</v>
      </c>
      <c r="AB19" s="11">
        <f>COUNT(T19:Y19)</f>
        <v>0</v>
      </c>
    </row>
    <row r="20" spans="1:28">
      <c r="A20" s="246"/>
      <c r="N20" s="5"/>
      <c r="S20" s="246"/>
      <c r="Z20" s="5"/>
    </row>
    <row r="21" spans="1:28" ht="25.5">
      <c r="A21" s="246"/>
      <c r="B21" s="3" t="s">
        <v>413</v>
      </c>
      <c r="C21" s="3" t="s">
        <v>414</v>
      </c>
      <c r="D21" s="3" t="s">
        <v>427</v>
      </c>
      <c r="E21" s="3" t="s">
        <v>416</v>
      </c>
      <c r="G21" s="3" t="s">
        <v>417</v>
      </c>
      <c r="H21" s="17">
        <v>3.3</v>
      </c>
      <c r="N21" s="5" t="e">
        <f>AVERAGE(I21:M21)</f>
        <v>#DIV/0!</v>
      </c>
      <c r="O21" s="3" t="e">
        <f>SQRT(VAR(I21:M21))</f>
        <v>#DIV/0!</v>
      </c>
      <c r="P21" s="3">
        <f>COUNT(I21:M21)</f>
        <v>0</v>
      </c>
      <c r="S21" s="246"/>
      <c r="Z21" s="5" t="e">
        <f>AVERAGE(T21:Y21)</f>
        <v>#DIV/0!</v>
      </c>
      <c r="AA21" s="3" t="e">
        <f>SQRT(VAR(T21:Y21))</f>
        <v>#DIV/0!</v>
      </c>
      <c r="AB21" s="3">
        <f>COUNT(T21:Y21)</f>
        <v>0</v>
      </c>
    </row>
    <row r="22" spans="1:28" ht="25.5">
      <c r="A22" s="246"/>
      <c r="G22" s="11" t="s">
        <v>418</v>
      </c>
      <c r="H22" s="11">
        <v>0.12</v>
      </c>
      <c r="I22" s="20"/>
      <c r="J22" s="20"/>
      <c r="K22" s="20"/>
      <c r="L22" s="20"/>
      <c r="M22" s="20"/>
      <c r="N22" s="27" t="e">
        <f>AVERAGE(I22:M22)</f>
        <v>#DIV/0!</v>
      </c>
      <c r="O22" s="11" t="e">
        <f>SQRT(VAR(I22:M22))</f>
        <v>#DIV/0!</v>
      </c>
      <c r="P22" s="11">
        <f>COUNT(I22:M22)</f>
        <v>0</v>
      </c>
      <c r="S22" s="246"/>
      <c r="T22" s="20"/>
      <c r="U22" s="20"/>
      <c r="V22" s="20"/>
      <c r="W22" s="20"/>
      <c r="X22" s="20"/>
      <c r="Y22" s="20"/>
      <c r="Z22" s="190" t="e">
        <f>AVERAGE(T22:Y22)</f>
        <v>#DIV/0!</v>
      </c>
      <c r="AA22" s="191" t="e">
        <f>SQRT(VAR(T22:Y22))</f>
        <v>#DIV/0!</v>
      </c>
      <c r="AB22" s="191">
        <f>COUNT(T22:Y22)</f>
        <v>0</v>
      </c>
    </row>
    <row r="23" spans="1:28">
      <c r="A23" s="246"/>
      <c r="N23" s="5"/>
      <c r="S23" s="246"/>
      <c r="Z23" s="5"/>
    </row>
    <row r="24" spans="1:28">
      <c r="A24" s="246"/>
      <c r="B24" s="9" t="s">
        <v>50</v>
      </c>
      <c r="C24" s="9"/>
      <c r="D24" s="9" t="s">
        <v>50</v>
      </c>
      <c r="E24" s="9"/>
      <c r="F24" s="9"/>
      <c r="G24" s="13"/>
      <c r="H24" s="13"/>
      <c r="I24" s="16"/>
      <c r="J24" s="16"/>
      <c r="K24" s="16"/>
      <c r="L24" s="16"/>
      <c r="M24" s="16"/>
      <c r="N24" s="26"/>
      <c r="O24" s="13"/>
      <c r="P24" s="13"/>
      <c r="S24" s="246"/>
      <c r="T24" s="16"/>
      <c r="U24" s="16"/>
      <c r="V24" s="16"/>
      <c r="W24" s="16"/>
      <c r="X24" s="16"/>
      <c r="Y24" s="16"/>
      <c r="Z24" s="26"/>
      <c r="AA24" s="13"/>
      <c r="AB24" s="13"/>
    </row>
    <row r="25" spans="1:28" ht="31.5" customHeight="1">
      <c r="A25" s="246"/>
      <c r="B25" s="3" t="s">
        <v>413</v>
      </c>
      <c r="C25" s="3" t="s">
        <v>414</v>
      </c>
      <c r="D25" s="29" t="s">
        <v>428</v>
      </c>
      <c r="E25" s="3" t="s">
        <v>429</v>
      </c>
      <c r="F25" s="3" t="s">
        <v>69</v>
      </c>
      <c r="G25" s="3" t="s">
        <v>417</v>
      </c>
      <c r="H25" s="17">
        <v>3.3</v>
      </c>
      <c r="I25" s="2">
        <f>DL_OH!S54*7.672</f>
        <v>7.8167547169811336</v>
      </c>
      <c r="K25" s="2">
        <f>DL_OH!S65*7.6963</f>
        <v>7.768228037383178</v>
      </c>
      <c r="N25" s="5">
        <f>AVERAGE(I25:M25)</f>
        <v>7.7924913771821558</v>
      </c>
      <c r="O25" s="3">
        <f>SQRT(VAR(I25:M25))</f>
        <v>3.4313544212181246E-2</v>
      </c>
      <c r="P25" s="3">
        <f>COUNT(I25:M25)</f>
        <v>2</v>
      </c>
      <c r="S25" s="246"/>
      <c r="T25" s="2">
        <f>DL_OH!S54*7.604</f>
        <v>7.747471698113209</v>
      </c>
      <c r="X25" s="2">
        <f>DL_OH!S61*5.17</f>
        <v>5.0724528301886807</v>
      </c>
      <c r="Y25" s="2">
        <f>DL_OH!S62*6.8</f>
        <v>6.6716981132075475</v>
      </c>
      <c r="Z25" s="5">
        <f>AVERAGE(T25:Y25)</f>
        <v>6.4972075471698121</v>
      </c>
      <c r="AA25" s="3">
        <f>SQRT(VAR(T25:Y25))</f>
        <v>1.346018834996445</v>
      </c>
      <c r="AB25" s="3">
        <f>COUNT(T25:Y25)</f>
        <v>3</v>
      </c>
    </row>
    <row r="26" spans="1:28" ht="25.5">
      <c r="A26" s="246"/>
      <c r="G26" s="11" t="s">
        <v>418</v>
      </c>
      <c r="H26" s="11">
        <v>0.12</v>
      </c>
      <c r="I26" s="20">
        <f>DL_OH!S54*0.189</f>
        <v>0.1925660377358491</v>
      </c>
      <c r="J26" s="20"/>
      <c r="K26" s="20">
        <f>DL_OH!S65*0.1479</f>
        <v>0.14928224299065423</v>
      </c>
      <c r="L26" s="20"/>
      <c r="M26" s="20"/>
      <c r="N26" s="27">
        <f>AVERAGE(I26:M26)</f>
        <v>0.17092414036325165</v>
      </c>
      <c r="O26" s="11">
        <f>SQRT(VAR(I26:M26))</f>
        <v>3.0606264779814152E-2</v>
      </c>
      <c r="P26" s="11">
        <f>COUNT(I26:M26)</f>
        <v>2</v>
      </c>
      <c r="S26" s="246"/>
      <c r="T26" s="20">
        <f>DL_OH!S54*0.185</f>
        <v>0.1884905660377359</v>
      </c>
      <c r="U26" s="20"/>
      <c r="V26" s="20"/>
      <c r="W26" s="20"/>
      <c r="X26" s="20">
        <f>DL_OH!S61*0.15</f>
        <v>0.14716981132075474</v>
      </c>
      <c r="Y26" s="20">
        <f>DL_OH!S62*0.215</f>
        <v>0.21094339622641509</v>
      </c>
      <c r="Z26" s="27">
        <f>AVERAGE(T26:Y26)</f>
        <v>0.18220125786163524</v>
      </c>
      <c r="AA26" s="11">
        <f>SQRT(VAR(T26:Y26))</f>
        <v>3.2348633370365705E-2</v>
      </c>
      <c r="AB26" s="11">
        <f>COUNT(T26:Y26)</f>
        <v>3</v>
      </c>
    </row>
    <row r="27" spans="1:28">
      <c r="A27" s="8"/>
      <c r="N27" s="5"/>
      <c r="S27" s="246"/>
      <c r="Z27" s="5"/>
    </row>
    <row r="28" spans="1:28" ht="31.5" customHeight="1">
      <c r="A28" s="8"/>
      <c r="B28" s="3" t="s">
        <v>413</v>
      </c>
      <c r="C28" s="3" t="s">
        <v>414</v>
      </c>
      <c r="D28" s="29" t="s">
        <v>428</v>
      </c>
      <c r="E28" s="3" t="s">
        <v>416</v>
      </c>
      <c r="F28" s="3" t="s">
        <v>69</v>
      </c>
      <c r="G28" s="3" t="s">
        <v>417</v>
      </c>
      <c r="H28" s="17">
        <v>3.3</v>
      </c>
      <c r="I28" s="2">
        <f>DL_OH!S38*7.515</f>
        <v>7.6567924528301887</v>
      </c>
      <c r="N28" s="5">
        <f>AVERAGE(I28:M28)</f>
        <v>7.6567924528301887</v>
      </c>
      <c r="O28" s="3" t="e">
        <f>SQRT(VAR(I28:M28))</f>
        <v>#DIV/0!</v>
      </c>
      <c r="P28" s="3">
        <f>COUNT(I28:M28)</f>
        <v>1</v>
      </c>
      <c r="S28" s="246"/>
      <c r="T28" s="2">
        <f>DL_OH!S38*7.433</f>
        <v>7.5732452830188679</v>
      </c>
      <c r="Z28" s="5">
        <f>AVERAGE(T28:Y28)</f>
        <v>7.5732452830188679</v>
      </c>
      <c r="AA28" s="3" t="e">
        <f>SQRT(VAR(T28:Y28))</f>
        <v>#DIV/0!</v>
      </c>
      <c r="AB28" s="3">
        <f>COUNT(T28:Y28)</f>
        <v>1</v>
      </c>
    </row>
    <row r="29" spans="1:28" ht="25.5">
      <c r="A29" s="8"/>
      <c r="G29" s="11" t="s">
        <v>418</v>
      </c>
      <c r="H29" s="11">
        <v>0.12</v>
      </c>
      <c r="I29" s="20">
        <f>DL_OH!S38*0.161</f>
        <v>0.16403773584905662</v>
      </c>
      <c r="J29" s="20"/>
      <c r="K29" s="20"/>
      <c r="L29" s="20"/>
      <c r="M29" s="20"/>
      <c r="N29" s="27">
        <f>AVERAGE(I29:M29)</f>
        <v>0.16403773584905662</v>
      </c>
      <c r="O29" s="11" t="e">
        <f>SQRT(VAR(I29:M29))</f>
        <v>#DIV/0!</v>
      </c>
      <c r="P29" s="11">
        <f>COUNT(I29:M29)</f>
        <v>1</v>
      </c>
      <c r="S29" s="246"/>
      <c r="T29" s="20">
        <f>DL_OH!S38*0.156</f>
        <v>0.1589433962264151</v>
      </c>
      <c r="U29" s="20"/>
      <c r="V29" s="20"/>
      <c r="W29" s="20"/>
      <c r="X29" s="20"/>
      <c r="Y29" s="20"/>
      <c r="Z29" s="27">
        <f>AVERAGE(T29:Y29)</f>
        <v>0.1589433962264151</v>
      </c>
      <c r="AA29" s="11" t="e">
        <f>SQRT(VAR(T29:Y29))</f>
        <v>#DIV/0!</v>
      </c>
      <c r="AB29" s="11">
        <f>COUNT(T29:Y29)</f>
        <v>1</v>
      </c>
    </row>
    <row r="30" spans="1:28">
      <c r="A30" s="8"/>
      <c r="N30" s="5"/>
      <c r="S30" s="246"/>
      <c r="Z30" s="5"/>
    </row>
    <row r="31" spans="1:28" ht="31.5" customHeight="1">
      <c r="A31" s="8"/>
      <c r="B31" s="3" t="s">
        <v>413</v>
      </c>
      <c r="C31" s="3" t="s">
        <v>420</v>
      </c>
      <c r="D31" s="29" t="s">
        <v>430</v>
      </c>
      <c r="E31" s="3" t="s">
        <v>429</v>
      </c>
      <c r="F31" s="3" t="s">
        <v>69</v>
      </c>
      <c r="G31" s="3" t="s">
        <v>417</v>
      </c>
      <c r="H31" s="17">
        <v>3.3</v>
      </c>
      <c r="I31" s="2">
        <f>DL_OH!S55*9.041</f>
        <v>9.2115849056603754</v>
      </c>
      <c r="N31" s="5">
        <f>AVERAGE(I31:M31)</f>
        <v>9.2115849056603754</v>
      </c>
      <c r="O31" s="3" t="e">
        <f>SQRT(VAR(I31:M31))</f>
        <v>#DIV/0!</v>
      </c>
      <c r="P31" s="3">
        <f>COUNT(I31:M31)</f>
        <v>1</v>
      </c>
      <c r="S31" s="246"/>
      <c r="T31" s="2">
        <f>DL_OH!S55*9.049</f>
        <v>9.219735849056601</v>
      </c>
      <c r="Z31" s="5">
        <f>AVERAGE(T31:Y31)</f>
        <v>9.219735849056601</v>
      </c>
      <c r="AA31" s="3" t="e">
        <f>SQRT(VAR(T31:Y31))</f>
        <v>#DIV/0!</v>
      </c>
      <c r="AB31" s="3">
        <f>COUNT(T31:Y31)</f>
        <v>1</v>
      </c>
    </row>
    <row r="32" spans="1:28" ht="25.5">
      <c r="A32" s="8"/>
      <c r="G32" s="11" t="s">
        <v>418</v>
      </c>
      <c r="H32" s="11">
        <v>0.12</v>
      </c>
      <c r="I32" s="20">
        <f>DL_OH!S55*0.21</f>
        <v>0.21396226415094335</v>
      </c>
      <c r="J32" s="20"/>
      <c r="K32" s="20"/>
      <c r="L32" s="20"/>
      <c r="M32" s="20"/>
      <c r="N32" s="27">
        <f>AVERAGE(I32:M32)</f>
        <v>0.21396226415094335</v>
      </c>
      <c r="O32" s="11" t="e">
        <f>SQRT(VAR(I32:M32))</f>
        <v>#DIV/0!</v>
      </c>
      <c r="P32" s="11">
        <f>COUNT(I32:M32)</f>
        <v>1</v>
      </c>
      <c r="S32" s="246"/>
      <c r="T32" s="20">
        <f>DL_OH!S55*0.215</f>
        <v>0.21905660377358485</v>
      </c>
      <c r="U32" s="20"/>
      <c r="V32" s="20"/>
      <c r="W32" s="20"/>
      <c r="X32" s="20"/>
      <c r="Y32" s="20"/>
      <c r="Z32" s="27">
        <f>AVERAGE(T32:Y32)</f>
        <v>0.21905660377358485</v>
      </c>
      <c r="AA32" s="11" t="e">
        <f>SQRT(VAR(T32:Y32))</f>
        <v>#DIV/0!</v>
      </c>
      <c r="AB32" s="11">
        <f>COUNT(T32:Y32)</f>
        <v>1</v>
      </c>
    </row>
    <row r="33" spans="1:28">
      <c r="A33" s="8"/>
      <c r="N33" s="5"/>
      <c r="S33" s="246"/>
      <c r="Z33" s="5"/>
    </row>
    <row r="34" spans="1:28" ht="31.5" customHeight="1">
      <c r="A34" s="8"/>
      <c r="B34" s="3" t="s">
        <v>413</v>
      </c>
      <c r="C34" s="3" t="s">
        <v>420</v>
      </c>
      <c r="D34" s="29" t="s">
        <v>430</v>
      </c>
      <c r="E34" s="3" t="s">
        <v>416</v>
      </c>
      <c r="F34" s="3" t="s">
        <v>69</v>
      </c>
      <c r="G34" s="3" t="s">
        <v>417</v>
      </c>
      <c r="H34" s="17">
        <v>3.3</v>
      </c>
      <c r="I34" s="2">
        <f>DL_OH!S39*8.732</f>
        <v>8.8967547169811318</v>
      </c>
      <c r="N34" s="5">
        <f>AVERAGE(I34:M34)</f>
        <v>8.8967547169811318</v>
      </c>
      <c r="O34" s="3" t="e">
        <f>SQRT(VAR(I34:M34))</f>
        <v>#DIV/0!</v>
      </c>
      <c r="P34" s="3">
        <f>COUNT(I34:M34)</f>
        <v>1</v>
      </c>
      <c r="S34" s="246"/>
      <c r="T34" s="2">
        <f>DL_OH!S39*8.783</f>
        <v>8.9487169811320744</v>
      </c>
      <c r="Z34" s="5">
        <f>AVERAGE(T34:Y34)</f>
        <v>8.9487169811320744</v>
      </c>
      <c r="AA34" s="3" t="e">
        <f>SQRT(VAR(T34:Y34))</f>
        <v>#DIV/0!</v>
      </c>
      <c r="AB34" s="3">
        <f>COUNT(T34:Y34)</f>
        <v>1</v>
      </c>
    </row>
    <row r="35" spans="1:28" ht="25.5">
      <c r="A35" s="8"/>
      <c r="G35" s="11" t="s">
        <v>418</v>
      </c>
      <c r="H35" s="11">
        <v>0.12</v>
      </c>
      <c r="I35" s="20">
        <f>DL_OH!S39*0.174</f>
        <v>0.17728301886792452</v>
      </c>
      <c r="J35" s="20"/>
      <c r="K35" s="20"/>
      <c r="L35" s="20"/>
      <c r="M35" s="20"/>
      <c r="N35" s="27">
        <f>AVERAGE(I35:M35)</f>
        <v>0.17728301886792452</v>
      </c>
      <c r="O35" s="11" t="e">
        <f>SQRT(VAR(I35:M35))</f>
        <v>#DIV/0!</v>
      </c>
      <c r="P35" s="11">
        <f>COUNT(I35:M35)</f>
        <v>1</v>
      </c>
      <c r="S35" s="246"/>
      <c r="T35" s="20">
        <f>DL_OH!S39*0.18</f>
        <v>0.18339622641509434</v>
      </c>
      <c r="U35" s="20"/>
      <c r="V35" s="20"/>
      <c r="W35" s="20"/>
      <c r="X35" s="20"/>
      <c r="Y35" s="20"/>
      <c r="Z35" s="27">
        <f>AVERAGE(T35:Y35)</f>
        <v>0.18339622641509434</v>
      </c>
      <c r="AA35" s="11" t="e">
        <f>SQRT(VAR(T35:Y35))</f>
        <v>#DIV/0!</v>
      </c>
      <c r="AB35" s="11">
        <f>COUNT(T35:Y35)</f>
        <v>1</v>
      </c>
    </row>
    <row r="36" spans="1:28">
      <c r="A36" s="8"/>
      <c r="N36" s="5"/>
      <c r="S36" s="246"/>
      <c r="Z36" s="5"/>
    </row>
    <row r="37" spans="1:28" ht="40.5" customHeight="1">
      <c r="A37" s="8"/>
      <c r="B37" s="3" t="s">
        <v>413</v>
      </c>
      <c r="C37" s="3" t="s">
        <v>423</v>
      </c>
      <c r="D37" s="189" t="s">
        <v>496</v>
      </c>
      <c r="E37" s="3" t="s">
        <v>416</v>
      </c>
      <c r="F37" s="3" t="s">
        <v>70</v>
      </c>
      <c r="G37" s="3" t="s">
        <v>417</v>
      </c>
      <c r="H37" s="17">
        <v>3.3</v>
      </c>
      <c r="N37" s="5" t="e">
        <f>AVERAGE(I37:M37)</f>
        <v>#DIV/0!</v>
      </c>
      <c r="O37" s="3" t="e">
        <f>SQRT(VAR(I37:M37))</f>
        <v>#DIV/0!</v>
      </c>
      <c r="P37" s="3">
        <f>COUNT(I37:M37)</f>
        <v>0</v>
      </c>
      <c r="S37" s="246"/>
      <c r="Z37" s="5" t="e">
        <f>AVERAGE(T37:Y37)</f>
        <v>#DIV/0!</v>
      </c>
      <c r="AA37" s="3" t="e">
        <f>SQRT(VAR(T37:Y37))</f>
        <v>#DIV/0!</v>
      </c>
      <c r="AB37" s="3">
        <f>COUNT(T37:Y37)</f>
        <v>0</v>
      </c>
    </row>
    <row r="38" spans="1:28" ht="25.5">
      <c r="A38" s="8"/>
      <c r="G38" s="11" t="s">
        <v>418</v>
      </c>
      <c r="H38" s="11">
        <v>0.12</v>
      </c>
      <c r="I38" s="20"/>
      <c r="J38" s="20"/>
      <c r="K38" s="20"/>
      <c r="L38" s="20"/>
      <c r="M38" s="20"/>
      <c r="N38" s="27" t="e">
        <f>AVERAGE(I38:M38)</f>
        <v>#DIV/0!</v>
      </c>
      <c r="O38" s="11" t="e">
        <f>SQRT(VAR(I38:M38))</f>
        <v>#DIV/0!</v>
      </c>
      <c r="P38" s="11">
        <f>COUNT(I38:M38)</f>
        <v>0</v>
      </c>
      <c r="S38" s="246"/>
      <c r="T38" s="20"/>
      <c r="U38" s="20"/>
      <c r="V38" s="20"/>
      <c r="W38" s="20"/>
      <c r="X38" s="20"/>
      <c r="Y38" s="20"/>
      <c r="Z38" s="27" t="e">
        <f>AVERAGE(T38:Y38)</f>
        <v>#DIV/0!</v>
      </c>
      <c r="AA38" s="11" t="e">
        <f>SQRT(VAR(T38:Y38))</f>
        <v>#DIV/0!</v>
      </c>
      <c r="AB38" s="11">
        <f>COUNT(T38:Y38)</f>
        <v>0</v>
      </c>
    </row>
    <row r="39" spans="1:28">
      <c r="A39" s="8"/>
      <c r="N39" s="5"/>
      <c r="S39" s="8"/>
      <c r="Z39" s="5"/>
    </row>
    <row r="40" spans="1:28" ht="25.5">
      <c r="A40" s="8"/>
      <c r="B40" s="3" t="s">
        <v>413</v>
      </c>
      <c r="C40" s="3" t="s">
        <v>414</v>
      </c>
      <c r="D40" s="29" t="s">
        <v>428</v>
      </c>
      <c r="E40" s="3" t="s">
        <v>416</v>
      </c>
      <c r="F40" s="3" t="s">
        <v>70</v>
      </c>
      <c r="G40" s="3" t="s">
        <v>417</v>
      </c>
      <c r="H40" s="17">
        <v>3.3</v>
      </c>
      <c r="J40" s="2">
        <v>9.2200000000000006</v>
      </c>
      <c r="L40" s="2">
        <f>DL_OH!S35*8.87</f>
        <v>8.7604938271604933</v>
      </c>
      <c r="N40" s="5">
        <f>AVERAGE(I40:M40)</f>
        <v>8.990246913580247</v>
      </c>
      <c r="O40" s="3">
        <f>SQRT(VAR(I40:M40))</f>
        <v>0.32491993081189341</v>
      </c>
      <c r="P40" s="3">
        <f>COUNT(I40:M40)</f>
        <v>2</v>
      </c>
      <c r="S40" s="8"/>
      <c r="U40" s="2">
        <v>9.4700000000000006</v>
      </c>
      <c r="W40" s="2">
        <f>DL_OH!S35*9.88</f>
        <v>9.7580246913580257</v>
      </c>
      <c r="Z40" s="5">
        <f>AVERAGE(T40:Y40)</f>
        <v>9.6140123456790132</v>
      </c>
      <c r="AA40" s="3">
        <f>SQRT(VAR(T40:Y40))</f>
        <v>0.20366421240842195</v>
      </c>
      <c r="AB40" s="3">
        <f>COUNT(T40:Y40)</f>
        <v>2</v>
      </c>
    </row>
    <row r="41" spans="1:28" ht="25.5">
      <c r="A41" s="8"/>
      <c r="G41" s="11" t="s">
        <v>418</v>
      </c>
      <c r="H41" s="11">
        <v>0.12</v>
      </c>
      <c r="I41" s="20"/>
      <c r="J41" s="20">
        <v>0.25700000000000001</v>
      </c>
      <c r="K41" s="20"/>
      <c r="L41" s="20">
        <f>DL_OH!S35*0.286</f>
        <v>0.28246913580246913</v>
      </c>
      <c r="M41" s="20"/>
      <c r="N41" s="27">
        <f>AVERAGE(I41:M41)</f>
        <v>0.26973456790123457</v>
      </c>
      <c r="O41" s="11">
        <f>SQRT(VAR(I41:M41))</f>
        <v>1.8009398636886997E-2</v>
      </c>
      <c r="P41" s="11">
        <f>COUNT(I41:M41)</f>
        <v>2</v>
      </c>
      <c r="S41" s="8"/>
      <c r="T41" s="20"/>
      <c r="U41" s="20">
        <v>0.25700000000000001</v>
      </c>
      <c r="V41" s="20"/>
      <c r="W41" s="20">
        <f>DL_OH!S35*0.286</f>
        <v>0.28246913580246913</v>
      </c>
      <c r="X41" s="20"/>
      <c r="Y41" s="20"/>
      <c r="Z41" s="27">
        <f>AVERAGE(T41:Y41)</f>
        <v>0.26973456790123457</v>
      </c>
      <c r="AA41" s="11">
        <f>SQRT(VAR(T41:Y41))</f>
        <v>1.8009398636886997E-2</v>
      </c>
      <c r="AB41" s="11">
        <f>COUNT(T41:Y41)</f>
        <v>2</v>
      </c>
    </row>
    <row r="42" spans="1:28">
      <c r="A42" s="8"/>
      <c r="N42" s="5"/>
      <c r="S42" s="8"/>
      <c r="Z42" s="5"/>
    </row>
    <row r="43" spans="1:28" ht="25.5">
      <c r="A43" s="8"/>
      <c r="B43" s="3" t="s">
        <v>413</v>
      </c>
      <c r="C43" s="3" t="s">
        <v>414</v>
      </c>
      <c r="D43" s="29" t="s">
        <v>428</v>
      </c>
      <c r="E43" s="29" t="s">
        <v>429</v>
      </c>
      <c r="F43" s="3" t="s">
        <v>70</v>
      </c>
      <c r="G43" s="3" t="s">
        <v>417</v>
      </c>
      <c r="H43" s="17">
        <v>3.3</v>
      </c>
      <c r="J43" s="2">
        <v>8.64</v>
      </c>
      <c r="M43" s="2">
        <f>DL_OH!S51*4.93</f>
        <v>4.7891428571428571</v>
      </c>
      <c r="N43" s="5">
        <f>AVERAGE(I43:M43)</f>
        <v>6.7145714285714284</v>
      </c>
      <c r="O43" s="3">
        <f>SQRT(VAR(I43:M43))</f>
        <v>2.7229671990949411</v>
      </c>
      <c r="P43" s="3">
        <f>COUNT(I43:M43)</f>
        <v>2</v>
      </c>
      <c r="S43" s="8"/>
      <c r="U43" s="2">
        <v>8.83</v>
      </c>
      <c r="X43" s="2">
        <f>DL_OH!S51*5.14</f>
        <v>4.9931428571428569</v>
      </c>
      <c r="Z43" s="5">
        <f>AVERAGE(T43:Y43)</f>
        <v>6.9115714285714285</v>
      </c>
      <c r="AA43" s="3">
        <f>SQRT(VAR(T43:Y43))</f>
        <v>2.7130677041583287</v>
      </c>
      <c r="AB43" s="3">
        <f>COUNT(T43:Y43)</f>
        <v>2</v>
      </c>
    </row>
    <row r="44" spans="1:28" ht="25.5">
      <c r="A44" s="8"/>
      <c r="G44" s="11" t="s">
        <v>418</v>
      </c>
      <c r="H44" s="11">
        <v>0.12</v>
      </c>
      <c r="I44" s="20"/>
      <c r="J44" s="20">
        <v>0.22700000000000001</v>
      </c>
      <c r="K44" s="20"/>
      <c r="L44" s="20"/>
      <c r="M44" s="20">
        <f>DL_OH!S51*0.15</f>
        <v>0.14571428571428571</v>
      </c>
      <c r="N44" s="27">
        <f>AVERAGE(I44:M44)</f>
        <v>0.18635714285714286</v>
      </c>
      <c r="O44" s="11">
        <f>SQRT(VAR(I44:M44))</f>
        <v>5.7477679785020837E-2</v>
      </c>
      <c r="P44" s="11">
        <f>COUNT(I44:M44)</f>
        <v>2</v>
      </c>
      <c r="S44" s="8"/>
      <c r="T44" s="20"/>
      <c r="U44" s="20">
        <v>0.22700000000000001</v>
      </c>
      <c r="V44" s="20"/>
      <c r="W44" s="20"/>
      <c r="X44" s="20">
        <f>DL_OH!S51*0.16</f>
        <v>0.15542857142857144</v>
      </c>
      <c r="Y44" s="20"/>
      <c r="Z44" s="27">
        <f>AVERAGE(T44:Y44)</f>
        <v>0.19121428571428573</v>
      </c>
      <c r="AA44" s="11">
        <f>SQRT(VAR(T44:Y44))</f>
        <v>5.0608642482065869E-2</v>
      </c>
      <c r="AB44" s="11">
        <f>COUNT(T44:Y44)</f>
        <v>2</v>
      </c>
    </row>
    <row r="45" spans="1:28">
      <c r="A45" s="8"/>
      <c r="N45" s="5"/>
      <c r="S45" s="8"/>
      <c r="Z45" s="5"/>
    </row>
    <row r="46" spans="1:28" ht="25.5">
      <c r="A46" s="8"/>
      <c r="B46" s="3" t="s">
        <v>413</v>
      </c>
      <c r="C46" s="3" t="s">
        <v>425</v>
      </c>
      <c r="D46" s="3" t="s">
        <v>431</v>
      </c>
      <c r="E46" s="29" t="s">
        <v>429</v>
      </c>
      <c r="F46" s="29" t="s">
        <v>72</v>
      </c>
      <c r="G46" s="3" t="s">
        <v>417</v>
      </c>
      <c r="H46" s="17">
        <v>3.3</v>
      </c>
      <c r="N46" s="5" t="e">
        <f>AVERAGE(I46:M46)</f>
        <v>#DIV/0!</v>
      </c>
      <c r="O46" s="3" t="e">
        <f>SQRT(VAR(I46:M46))</f>
        <v>#DIV/0!</v>
      </c>
      <c r="P46" s="3">
        <f>COUNT(I46:M46)</f>
        <v>0</v>
      </c>
      <c r="S46" s="8"/>
      <c r="Z46" s="5" t="e">
        <f>AVERAGE(T46:Y46)</f>
        <v>#DIV/0!</v>
      </c>
      <c r="AA46" s="3" t="e">
        <f>SQRT(VAR(T46:Y46))</f>
        <v>#DIV/0!</v>
      </c>
      <c r="AB46" s="3">
        <f>COUNT(T46:Y46)</f>
        <v>0</v>
      </c>
    </row>
    <row r="47" spans="1:28" ht="25.5">
      <c r="A47" s="8"/>
      <c r="G47" s="11" t="s">
        <v>418</v>
      </c>
      <c r="H47" s="11">
        <v>0.12</v>
      </c>
      <c r="I47" s="20"/>
      <c r="J47" s="20"/>
      <c r="K47" s="20"/>
      <c r="L47" s="20"/>
      <c r="M47" s="20"/>
      <c r="N47" s="27" t="e">
        <f>AVERAGE(I47:M47)</f>
        <v>#DIV/0!</v>
      </c>
      <c r="O47" s="11" t="e">
        <f>SQRT(VAR(I47:M47))</f>
        <v>#DIV/0!</v>
      </c>
      <c r="P47" s="11">
        <f>COUNT(I47:M47)</f>
        <v>0</v>
      </c>
      <c r="S47" s="8"/>
      <c r="T47" s="20"/>
      <c r="U47" s="20"/>
      <c r="V47" s="20"/>
      <c r="W47" s="20"/>
      <c r="X47" s="20"/>
      <c r="Y47" s="20"/>
      <c r="Z47" s="27" t="e">
        <f>AVERAGE(T47:Y47)</f>
        <v>#DIV/0!</v>
      </c>
      <c r="AA47" s="11" t="e">
        <f>SQRT(VAR(T47:Y47))</f>
        <v>#DIV/0!</v>
      </c>
      <c r="AB47" s="11">
        <f>COUNT(T47:Y47)</f>
        <v>0</v>
      </c>
    </row>
    <row r="48" spans="1:28">
      <c r="A48" s="244" t="s">
        <v>432</v>
      </c>
      <c r="B48" s="9" t="s">
        <v>49</v>
      </c>
      <c r="C48" s="9"/>
      <c r="D48" s="9" t="s">
        <v>49</v>
      </c>
      <c r="E48" s="9"/>
      <c r="F48" s="9"/>
      <c r="G48" s="13"/>
      <c r="H48" s="13"/>
      <c r="I48" s="16"/>
      <c r="J48" s="16"/>
      <c r="K48" s="16"/>
      <c r="L48" s="16"/>
      <c r="M48" s="16"/>
      <c r="N48" s="26"/>
      <c r="O48" s="13"/>
      <c r="P48" s="13"/>
      <c r="S48" s="244" t="s">
        <v>432</v>
      </c>
      <c r="T48" s="16"/>
      <c r="U48" s="16"/>
      <c r="V48" s="16"/>
      <c r="W48" s="16"/>
      <c r="X48" s="16"/>
      <c r="Y48" s="16"/>
      <c r="Z48" s="26"/>
      <c r="AA48" s="13"/>
      <c r="AB48" s="13"/>
    </row>
    <row r="49" spans="1:28" ht="25.5">
      <c r="A49" s="244"/>
      <c r="B49" s="3" t="s">
        <v>413</v>
      </c>
      <c r="C49" s="3" t="s">
        <v>414</v>
      </c>
      <c r="D49" s="3" t="s">
        <v>433</v>
      </c>
      <c r="E49" s="3" t="s">
        <v>416</v>
      </c>
      <c r="G49" s="3" t="s">
        <v>417</v>
      </c>
      <c r="H49" s="17">
        <v>1.6</v>
      </c>
      <c r="I49" s="2">
        <f>UL_OH!R9*4.17</f>
        <v>4.2791578733766231</v>
      </c>
      <c r="N49" s="5">
        <f>AVERAGE(I49:M49)</f>
        <v>4.2791578733766231</v>
      </c>
      <c r="O49" s="3" t="e">
        <f>SQRT(VAR(I49:M49))</f>
        <v>#DIV/0!</v>
      </c>
      <c r="P49" s="3">
        <f>COUNT(I49:M49)</f>
        <v>1</v>
      </c>
      <c r="S49" s="244"/>
      <c r="T49" s="2">
        <f>UL_OH!R9*4.184</f>
        <v>4.293524350649351</v>
      </c>
      <c r="Z49" s="5">
        <f>AVERAGE(T49:Y49)</f>
        <v>4.293524350649351</v>
      </c>
      <c r="AA49" s="3" t="e">
        <f>SQRT(VAR(T49:Y49))</f>
        <v>#DIV/0!</v>
      </c>
      <c r="AB49" s="3">
        <f>COUNT(T49:Y49)</f>
        <v>1</v>
      </c>
    </row>
    <row r="50" spans="1:28" ht="25.5">
      <c r="A50" s="244"/>
      <c r="G50" s="11" t="s">
        <v>418</v>
      </c>
      <c r="H50" s="11">
        <v>4.4999999999999998E-2</v>
      </c>
      <c r="I50" s="20">
        <f>UL_OH!R9*0.134</f>
        <v>0.13750771103896103</v>
      </c>
      <c r="J50" s="20"/>
      <c r="K50" s="20"/>
      <c r="L50" s="20"/>
      <c r="M50" s="20"/>
      <c r="N50" s="27">
        <f>AVERAGE(I50:M50)</f>
        <v>0.13750771103896103</v>
      </c>
      <c r="O50" s="11" t="e">
        <f>SQRT(VAR(I50:M50))</f>
        <v>#DIV/0!</v>
      </c>
      <c r="P50" s="11">
        <f>COUNT(I50:M50)</f>
        <v>1</v>
      </c>
      <c r="S50" s="244"/>
      <c r="T50" s="20">
        <f>UL_OH!R9*0.125</f>
        <v>0.1282721185064935</v>
      </c>
      <c r="U50" s="20"/>
      <c r="V50" s="20"/>
      <c r="W50" s="20"/>
      <c r="X50" s="20"/>
      <c r="Y50" s="20"/>
      <c r="Z50" s="27">
        <f>AVERAGE(T50:Y50)</f>
        <v>0.1282721185064935</v>
      </c>
      <c r="AA50" s="11" t="e">
        <f>SQRT(VAR(T50:Y50))</f>
        <v>#DIV/0!</v>
      </c>
      <c r="AB50" s="11">
        <f>COUNT(T50:Y50)</f>
        <v>1</v>
      </c>
    </row>
    <row r="51" spans="1:28">
      <c r="A51" s="244"/>
      <c r="N51" s="5"/>
      <c r="S51" s="244"/>
      <c r="Z51" s="5"/>
    </row>
    <row r="52" spans="1:28" ht="25.5">
      <c r="A52" s="244"/>
      <c r="B52" s="3" t="s">
        <v>413</v>
      </c>
      <c r="C52" s="3" t="s">
        <v>423</v>
      </c>
      <c r="D52" s="3" t="s">
        <v>434</v>
      </c>
      <c r="E52" s="3" t="s">
        <v>416</v>
      </c>
      <c r="G52" s="3" t="s">
        <v>417</v>
      </c>
      <c r="H52" s="17">
        <v>1.6</v>
      </c>
      <c r="N52" s="5" t="e">
        <f>AVERAGE(I52:M52)</f>
        <v>#DIV/0!</v>
      </c>
      <c r="O52" s="3" t="e">
        <f>SQRT(VAR(I52:M52))</f>
        <v>#DIV/0!</v>
      </c>
      <c r="P52" s="3">
        <f>COUNT(I52:M52)</f>
        <v>0</v>
      </c>
      <c r="S52" s="244"/>
      <c r="Z52" s="5" t="e">
        <f>AVERAGE(T52:Y52)</f>
        <v>#DIV/0!</v>
      </c>
      <c r="AA52" s="3" t="e">
        <f>SQRT(VAR(T52:Y52))</f>
        <v>#DIV/0!</v>
      </c>
      <c r="AB52" s="3">
        <f>COUNT(T52:Y52)</f>
        <v>0</v>
      </c>
    </row>
    <row r="53" spans="1:28" ht="25.5">
      <c r="A53" s="244"/>
      <c r="G53" s="11" t="s">
        <v>418</v>
      </c>
      <c r="H53" s="11">
        <v>4.4999999999999998E-2</v>
      </c>
      <c r="I53" s="20"/>
      <c r="J53" s="20"/>
      <c r="K53" s="208"/>
      <c r="L53" s="20"/>
      <c r="M53" s="20"/>
      <c r="N53" s="27" t="e">
        <f>AVERAGE(I53:M53)</f>
        <v>#DIV/0!</v>
      </c>
      <c r="O53" s="11" t="e">
        <f>SQRT(VAR(I53:M53))</f>
        <v>#DIV/0!</v>
      </c>
      <c r="P53" s="11">
        <f>COUNT(I53:M53)</f>
        <v>0</v>
      </c>
      <c r="S53" s="244"/>
      <c r="T53" s="20"/>
      <c r="U53" s="20"/>
      <c r="V53" s="20"/>
      <c r="W53" s="20"/>
      <c r="X53" s="20"/>
      <c r="Y53" s="20"/>
      <c r="Z53" s="27" t="e">
        <f>AVERAGE(T53:Y53)</f>
        <v>#DIV/0!</v>
      </c>
      <c r="AA53" s="11" t="e">
        <f>SQRT(VAR(T53:Y53))</f>
        <v>#DIV/0!</v>
      </c>
      <c r="AB53" s="11">
        <f>COUNT(T53:Y53)</f>
        <v>0</v>
      </c>
    </row>
    <row r="54" spans="1:28">
      <c r="A54" s="244"/>
      <c r="K54" s="209"/>
      <c r="N54" s="5"/>
      <c r="S54" s="244"/>
      <c r="Z54" s="5"/>
    </row>
    <row r="55" spans="1:28" ht="25.5">
      <c r="A55" s="244"/>
      <c r="B55" s="29" t="s">
        <v>413</v>
      </c>
      <c r="C55" s="3" t="s">
        <v>414</v>
      </c>
      <c r="D55" s="29" t="s">
        <v>435</v>
      </c>
      <c r="E55" s="3" t="s">
        <v>416</v>
      </c>
      <c r="G55" s="3" t="s">
        <v>417</v>
      </c>
      <c r="H55" s="17">
        <v>1.6</v>
      </c>
      <c r="I55" s="2">
        <f>UL_OH!R9*6.181</f>
        <v>6.3427997159090905</v>
      </c>
      <c r="J55" s="2">
        <v>5.63</v>
      </c>
      <c r="K55" s="209">
        <v>6.0876999999999999</v>
      </c>
      <c r="N55" s="5">
        <f>AVERAGE(I55:M55)</f>
        <v>6.0201665719696962</v>
      </c>
      <c r="O55" s="3">
        <f>SQRT(VAR(I55:M55))</f>
        <v>0.36116676435708084</v>
      </c>
      <c r="P55" s="3">
        <f>COUNT(I55:M55)</f>
        <v>3</v>
      </c>
      <c r="S55" s="244"/>
      <c r="T55" s="2">
        <f>UL_OH!R9*6.204</f>
        <v>6.3664017857142854</v>
      </c>
      <c r="U55" s="2">
        <v>5.65</v>
      </c>
      <c r="Z55" s="5">
        <f>AVERAGE(T55:Y55)</f>
        <v>6.0082008928571433</v>
      </c>
      <c r="AA55" s="3">
        <f>SQRT(VAR(T55:Y55))</f>
        <v>0.50657256073272283</v>
      </c>
      <c r="AB55" s="3">
        <f>COUNT(T55:Y55)</f>
        <v>2</v>
      </c>
    </row>
    <row r="56" spans="1:28" ht="25.5">
      <c r="A56" s="244"/>
      <c r="G56" s="11" t="s">
        <v>418</v>
      </c>
      <c r="H56" s="11">
        <v>4.4999999999999998E-2</v>
      </c>
      <c r="I56" s="20">
        <f>UL_OH!R9*0.14</f>
        <v>0.14366477272727274</v>
      </c>
      <c r="J56" s="20">
        <v>0.24299999999999999</v>
      </c>
      <c r="K56" s="208">
        <v>0.1764</v>
      </c>
      <c r="L56" s="20"/>
      <c r="M56" s="20"/>
      <c r="N56" s="27">
        <f>AVERAGE(I56:M56)</f>
        <v>0.18768825757575758</v>
      </c>
      <c r="O56" s="11">
        <f>SQRT(VAR(I56:M56))</f>
        <v>5.0620553272890806E-2</v>
      </c>
      <c r="P56" s="11">
        <f>COUNT(I56:M56)</f>
        <v>3</v>
      </c>
      <c r="S56" s="244"/>
      <c r="T56" s="20">
        <f>UL_OH!R9*0.133</f>
        <v>0.1364815340909091</v>
      </c>
      <c r="U56" s="20">
        <v>0.214</v>
      </c>
      <c r="V56" s="20"/>
      <c r="W56" s="20"/>
      <c r="X56" s="20"/>
      <c r="Y56" s="20"/>
      <c r="Z56" s="27">
        <f>AVERAGE(T56:Y56)</f>
        <v>0.17524076704545455</v>
      </c>
      <c r="AA56" s="11">
        <f>SQRT(VAR(T56:Y56))</f>
        <v>5.4813832911496371E-2</v>
      </c>
      <c r="AB56" s="11">
        <f>COUNT(T56:Y56)</f>
        <v>2</v>
      </c>
    </row>
    <row r="57" spans="1:28">
      <c r="A57" s="244"/>
      <c r="K57" s="209"/>
      <c r="N57" s="5"/>
      <c r="S57" s="244"/>
      <c r="Z57" s="5"/>
    </row>
    <row r="58" spans="1:28" ht="25.5">
      <c r="A58" s="244"/>
      <c r="B58" s="3" t="s">
        <v>413</v>
      </c>
      <c r="C58" s="3" t="s">
        <v>414</v>
      </c>
      <c r="D58" s="3" t="s">
        <v>435</v>
      </c>
      <c r="E58" s="3" t="s">
        <v>416</v>
      </c>
      <c r="G58" s="3" t="s">
        <v>417</v>
      </c>
      <c r="H58" s="37">
        <v>1.6</v>
      </c>
      <c r="K58" s="209"/>
      <c r="N58" s="5" t="e">
        <f>AVERAGE(I58:M58)</f>
        <v>#DIV/0!</v>
      </c>
      <c r="O58" s="3" t="e">
        <f>SQRT(VAR(I58:M58))</f>
        <v>#DIV/0!</v>
      </c>
      <c r="P58" s="3">
        <f>COUNT(I58:M58)</f>
        <v>0</v>
      </c>
      <c r="S58" s="244"/>
      <c r="Z58" s="5" t="e">
        <f>AVERAGE(T58:Y58)</f>
        <v>#DIV/0!</v>
      </c>
      <c r="AA58" s="3" t="e">
        <f>SQRT(VAR(T58:Y58))</f>
        <v>#DIV/0!</v>
      </c>
      <c r="AB58" s="3">
        <f>COUNT(T58:Y58)</f>
        <v>0</v>
      </c>
    </row>
    <row r="59" spans="1:28" ht="25.5">
      <c r="A59" s="244"/>
      <c r="G59" s="11" t="s">
        <v>418</v>
      </c>
      <c r="H59" s="11">
        <v>4.4999999999999998E-2</v>
      </c>
      <c r="I59" s="20"/>
      <c r="J59" s="20"/>
      <c r="K59" s="208"/>
      <c r="L59" s="20"/>
      <c r="M59" s="20"/>
      <c r="N59" s="27" t="e">
        <f>AVERAGE(I59:M59)</f>
        <v>#DIV/0!</v>
      </c>
      <c r="O59" s="11" t="e">
        <f>SQRT(VAR(I59:M59))</f>
        <v>#DIV/0!</v>
      </c>
      <c r="P59" s="11">
        <f>COUNT(I59:M59)</f>
        <v>0</v>
      </c>
      <c r="S59" s="244"/>
      <c r="T59" s="20"/>
      <c r="U59" s="20"/>
      <c r="V59" s="20"/>
      <c r="W59" s="20"/>
      <c r="X59" s="20"/>
      <c r="Y59" s="20"/>
      <c r="Z59" s="190" t="e">
        <f>AVERAGE(T59:Y59)</f>
        <v>#DIV/0!</v>
      </c>
      <c r="AA59" s="191" t="e">
        <f>SQRT(VAR(T59:Y59))</f>
        <v>#DIV/0!</v>
      </c>
      <c r="AB59" s="191">
        <f>COUNT(T59:Y59)</f>
        <v>0</v>
      </c>
    </row>
    <row r="60" spans="1:28">
      <c r="A60" s="244"/>
      <c r="K60" s="209"/>
      <c r="N60" s="5"/>
      <c r="S60" s="244"/>
      <c r="Z60" s="5"/>
    </row>
    <row r="61" spans="1:28">
      <c r="A61" s="244"/>
      <c r="B61" s="9" t="s">
        <v>50</v>
      </c>
      <c r="C61" s="9"/>
      <c r="D61" s="9" t="s">
        <v>50</v>
      </c>
      <c r="E61" s="9"/>
      <c r="F61" s="9"/>
      <c r="G61" s="13"/>
      <c r="H61" s="13"/>
      <c r="I61" s="16"/>
      <c r="J61" s="16"/>
      <c r="K61" s="210"/>
      <c r="L61" s="16"/>
      <c r="M61" s="16"/>
      <c r="N61" s="26"/>
      <c r="O61" s="13"/>
      <c r="P61" s="13"/>
      <c r="S61" s="244"/>
      <c r="T61" s="16"/>
      <c r="U61" s="16"/>
      <c r="V61" s="16"/>
      <c r="W61" s="16"/>
      <c r="X61" s="16"/>
      <c r="Y61" s="16"/>
      <c r="Z61" s="26"/>
      <c r="AA61" s="13"/>
      <c r="AB61" s="13"/>
    </row>
    <row r="62" spans="1:28" ht="38.25">
      <c r="A62" s="244"/>
      <c r="B62" s="3" t="s">
        <v>413</v>
      </c>
      <c r="C62" s="3" t="s">
        <v>414</v>
      </c>
      <c r="D62" s="3" t="s">
        <v>436</v>
      </c>
      <c r="E62" s="3" t="s">
        <v>429</v>
      </c>
      <c r="F62" s="3" t="s">
        <v>69</v>
      </c>
      <c r="G62" s="3" t="s">
        <v>417</v>
      </c>
      <c r="H62" s="17">
        <v>1.6</v>
      </c>
      <c r="I62" s="2">
        <f>UL_OH!R28*5.159</f>
        <v>4.751482352941176</v>
      </c>
      <c r="K62" s="209">
        <v>4.8044000000000002</v>
      </c>
      <c r="N62" s="5">
        <f>AVERAGE(I62:M62)</f>
        <v>4.7779411764705877</v>
      </c>
      <c r="O62" s="3">
        <f>SQRT(VAR(I62:M62))</f>
        <v>3.7418427079730941E-2</v>
      </c>
      <c r="P62" s="3">
        <f>COUNT(I62:M62)</f>
        <v>2</v>
      </c>
      <c r="S62" s="244"/>
      <c r="T62" s="2">
        <f>UL_OH!R28*5.171</f>
        <v>4.7625344537815124</v>
      </c>
      <c r="Z62" s="5">
        <f>AVERAGE(T62:Y62)</f>
        <v>4.7625344537815124</v>
      </c>
      <c r="AA62" s="3" t="e">
        <f>SQRT(VAR(T62:Y62))</f>
        <v>#DIV/0!</v>
      </c>
      <c r="AB62" s="3">
        <f>COUNT(T62:Y62)</f>
        <v>1</v>
      </c>
    </row>
    <row r="63" spans="1:28" ht="25.5">
      <c r="A63" s="244"/>
      <c r="G63" s="11" t="s">
        <v>418</v>
      </c>
      <c r="H63" s="11">
        <v>4.4999999999999998E-2</v>
      </c>
      <c r="I63" s="20">
        <f>UL_OH!R28*0.113</f>
        <v>0.10407394957983193</v>
      </c>
      <c r="J63" s="20"/>
      <c r="K63" s="208">
        <v>0.19070000000000001</v>
      </c>
      <c r="L63" s="20"/>
      <c r="M63" s="20"/>
      <c r="N63" s="27">
        <f>AVERAGE(I63:M63)</f>
        <v>0.14738697478991597</v>
      </c>
      <c r="O63" s="11">
        <f>SQRT(VAR(I63:M63))</f>
        <v>6.1253867679508626E-2</v>
      </c>
      <c r="P63" s="11">
        <f>COUNT(I63:M63)</f>
        <v>2</v>
      </c>
      <c r="S63" s="244"/>
      <c r="T63" s="20">
        <f>UL_OH!R28*0.107</f>
        <v>9.854789915966386E-2</v>
      </c>
      <c r="U63" s="20"/>
      <c r="V63" s="20"/>
      <c r="W63" s="20"/>
      <c r="X63" s="20"/>
      <c r="Y63" s="20"/>
      <c r="Z63" s="27">
        <f>AVERAGE(T63:Y63)</f>
        <v>9.854789915966386E-2</v>
      </c>
      <c r="AA63" s="11" t="e">
        <f>SQRT(VAR(T63:Y63))</f>
        <v>#DIV/0!</v>
      </c>
      <c r="AB63" s="11">
        <f>COUNT(T63:Y63)</f>
        <v>1</v>
      </c>
    </row>
    <row r="64" spans="1:28">
      <c r="A64" s="30"/>
      <c r="K64" s="209"/>
      <c r="N64" s="5"/>
      <c r="S64" s="30"/>
      <c r="Z64" s="5"/>
    </row>
    <row r="65" spans="1:28" ht="38.25">
      <c r="A65" s="30"/>
      <c r="B65" s="3" t="s">
        <v>413</v>
      </c>
      <c r="C65" s="3" t="s">
        <v>414</v>
      </c>
      <c r="D65" s="3" t="s">
        <v>436</v>
      </c>
      <c r="E65" s="3" t="s">
        <v>416</v>
      </c>
      <c r="F65" s="3" t="s">
        <v>69</v>
      </c>
      <c r="G65" s="3" t="s">
        <v>417</v>
      </c>
      <c r="H65" s="17">
        <v>1.6</v>
      </c>
      <c r="I65" s="2">
        <f>UL_OH!R28*5.517</f>
        <v>5.0812033613445378</v>
      </c>
      <c r="K65" s="209"/>
      <c r="N65" s="5">
        <f>AVERAGE(I65:M65)</f>
        <v>5.0812033613445378</v>
      </c>
      <c r="O65" s="3" t="e">
        <f>SQRT(VAR(I65:M65))</f>
        <v>#DIV/0!</v>
      </c>
      <c r="P65" s="3">
        <f>COUNT(I65:M65)</f>
        <v>1</v>
      </c>
      <c r="S65" s="30"/>
      <c r="T65" s="2">
        <f>UL_OH!R28*5.483</f>
        <v>5.0498890756302517</v>
      </c>
      <c r="Z65" s="5">
        <f>AVERAGE(T65:Y65)</f>
        <v>5.0498890756302517</v>
      </c>
      <c r="AA65" s="3" t="e">
        <f>SQRT(VAR(T65:Y65))</f>
        <v>#DIV/0!</v>
      </c>
      <c r="AB65" s="3">
        <f>COUNT(T65:Y65)</f>
        <v>1</v>
      </c>
    </row>
    <row r="66" spans="1:28" ht="25.5">
      <c r="A66" s="30"/>
      <c r="G66" s="11" t="s">
        <v>418</v>
      </c>
      <c r="H66" s="11">
        <v>4.4999999999999998E-2</v>
      </c>
      <c r="I66" s="20">
        <f>UL_OH!R28*0.104</f>
        <v>9.5784873949579824E-2</v>
      </c>
      <c r="J66" s="20"/>
      <c r="K66" s="208"/>
      <c r="L66" s="20"/>
      <c r="M66" s="20"/>
      <c r="N66" s="27">
        <f>AVERAGE(I66:M66)</f>
        <v>9.5784873949579824E-2</v>
      </c>
      <c r="O66" s="11" t="e">
        <f>SQRT(VAR(I66:M66))</f>
        <v>#DIV/0!</v>
      </c>
      <c r="P66" s="11">
        <f>COUNT(I66:M66)</f>
        <v>1</v>
      </c>
      <c r="S66" s="30"/>
      <c r="T66" s="20">
        <f>UL_OH!R28*0.094</f>
        <v>8.6574789915966385E-2</v>
      </c>
      <c r="U66" s="20"/>
      <c r="V66" s="20"/>
      <c r="W66" s="20"/>
      <c r="X66" s="20"/>
      <c r="Y66" s="20"/>
      <c r="Z66" s="27">
        <f>AVERAGE(T66:Y66)</f>
        <v>8.6574789915966385E-2</v>
      </c>
      <c r="AA66" s="11" t="e">
        <f>SQRT(VAR(T66:Y66))</f>
        <v>#DIV/0!</v>
      </c>
      <c r="AB66" s="11">
        <f>COUNT(T66:Y66)</f>
        <v>1</v>
      </c>
    </row>
    <row r="67" spans="1:28">
      <c r="A67" s="30"/>
      <c r="N67" s="5"/>
      <c r="S67" s="30"/>
      <c r="Z67" s="5"/>
    </row>
    <row r="68" spans="1:28" ht="38.25">
      <c r="A68" s="30"/>
      <c r="B68" s="3" t="s">
        <v>413</v>
      </c>
      <c r="C68" s="3" t="s">
        <v>423</v>
      </c>
      <c r="D68" s="3" t="s">
        <v>437</v>
      </c>
      <c r="E68" s="3" t="s">
        <v>416</v>
      </c>
      <c r="F68" s="3" t="s">
        <v>70</v>
      </c>
      <c r="G68" s="3" t="s">
        <v>417</v>
      </c>
      <c r="H68" s="17">
        <v>1.6</v>
      </c>
      <c r="N68" s="5" t="e">
        <f>AVERAGE(I68:M68)</f>
        <v>#DIV/0!</v>
      </c>
      <c r="O68" s="3" t="e">
        <f>SQRT(VAR(I68:M68))</f>
        <v>#DIV/0!</v>
      </c>
      <c r="P68" s="3">
        <f>COUNT(I68:M68)</f>
        <v>0</v>
      </c>
      <c r="S68" s="30"/>
      <c r="Z68" s="5" t="e">
        <f>AVERAGE(T68:Y68)</f>
        <v>#DIV/0!</v>
      </c>
      <c r="AA68" s="3" t="e">
        <f>SQRT(VAR(T68:Y68))</f>
        <v>#DIV/0!</v>
      </c>
      <c r="AB68" s="3">
        <f>COUNT(T68:Y68)</f>
        <v>0</v>
      </c>
    </row>
    <row r="69" spans="1:28" ht="25.5">
      <c r="A69" s="30"/>
      <c r="G69" s="11" t="s">
        <v>418</v>
      </c>
      <c r="H69" s="11">
        <v>4.4999999999999998E-2</v>
      </c>
      <c r="I69" s="20"/>
      <c r="J69" s="20"/>
      <c r="K69" s="20"/>
      <c r="L69" s="20"/>
      <c r="M69" s="20"/>
      <c r="N69" s="27" t="e">
        <f>AVERAGE(I69:M69)</f>
        <v>#DIV/0!</v>
      </c>
      <c r="O69" s="11" t="e">
        <f>SQRT(VAR(I69:M69))</f>
        <v>#DIV/0!</v>
      </c>
      <c r="P69" s="11">
        <f>COUNT(I69:M69)</f>
        <v>0</v>
      </c>
      <c r="S69" s="30"/>
      <c r="T69" s="20"/>
      <c r="U69" s="20"/>
      <c r="V69" s="20"/>
      <c r="W69" s="20"/>
      <c r="X69" s="20"/>
      <c r="Y69" s="20"/>
      <c r="Z69" s="27" t="e">
        <f>AVERAGE(T69:Y69)</f>
        <v>#DIV/0!</v>
      </c>
      <c r="AA69" s="11" t="e">
        <f>SQRT(VAR(T69:Y69))</f>
        <v>#DIV/0!</v>
      </c>
      <c r="AB69" s="11">
        <f>COUNT(T69:Y69)</f>
        <v>0</v>
      </c>
    </row>
    <row r="70" spans="1:28" ht="13.9" customHeight="1">
      <c r="A70" s="30"/>
      <c r="N70" s="5"/>
      <c r="S70" s="30"/>
      <c r="Z70" s="5"/>
    </row>
    <row r="71" spans="1:28" ht="25.5">
      <c r="A71" s="30"/>
      <c r="B71" s="29" t="s">
        <v>413</v>
      </c>
      <c r="C71" s="3" t="s">
        <v>414</v>
      </c>
      <c r="D71" s="29" t="s">
        <v>435</v>
      </c>
      <c r="E71" s="3" t="s">
        <v>416</v>
      </c>
      <c r="F71" s="3" t="s">
        <v>70</v>
      </c>
      <c r="G71" s="3" t="s">
        <v>417</v>
      </c>
      <c r="H71" s="17">
        <v>1.6</v>
      </c>
      <c r="J71" s="2">
        <v>4.4400000000000004</v>
      </c>
      <c r="N71" s="5">
        <f>AVERAGE(I71:M71)</f>
        <v>4.4400000000000004</v>
      </c>
      <c r="O71" s="3" t="e">
        <f>SQRT(VAR(I71:M71))</f>
        <v>#DIV/0!</v>
      </c>
      <c r="P71" s="3">
        <f>COUNT(I71:M71)</f>
        <v>1</v>
      </c>
      <c r="S71" s="30"/>
      <c r="U71" s="2">
        <v>4.45</v>
      </c>
      <c r="Z71" s="5">
        <f>AVERAGE(T71:Y71)</f>
        <v>4.45</v>
      </c>
      <c r="AA71" s="3" t="e">
        <f>SQRT(VAR(T71:Y71))</f>
        <v>#DIV/0!</v>
      </c>
      <c r="AB71" s="3">
        <f>COUNT(T71:Y71)</f>
        <v>1</v>
      </c>
    </row>
    <row r="72" spans="1:28" ht="25.5">
      <c r="A72" s="30"/>
      <c r="G72" s="11" t="s">
        <v>418</v>
      </c>
      <c r="H72" s="11">
        <v>4.4999999999999998E-2</v>
      </c>
      <c r="I72" s="20"/>
      <c r="J72" s="20">
        <v>0.18099999999999999</v>
      </c>
      <c r="K72" s="20"/>
      <c r="L72" s="20"/>
      <c r="M72" s="20"/>
      <c r="N72" s="27">
        <f>AVERAGE(I72:M72)</f>
        <v>0.18099999999999999</v>
      </c>
      <c r="O72" s="11" t="e">
        <f>SQRT(VAR(I72:M72))</f>
        <v>#DIV/0!</v>
      </c>
      <c r="P72" s="11">
        <f>COUNT(I72:M72)</f>
        <v>1</v>
      </c>
      <c r="S72" s="244"/>
      <c r="T72" s="20"/>
      <c r="U72" s="20">
        <v>0.16300000000000001</v>
      </c>
      <c r="V72" s="20"/>
      <c r="W72" s="20"/>
      <c r="X72" s="20"/>
      <c r="Y72" s="20"/>
      <c r="Z72" s="27">
        <f>AVERAGE(T72:Y72)</f>
        <v>0.16300000000000001</v>
      </c>
      <c r="AA72" s="11" t="e">
        <f>SQRT(VAR(T72:Y72))</f>
        <v>#DIV/0!</v>
      </c>
      <c r="AB72" s="11">
        <f>COUNT(T72:Y72)</f>
        <v>1</v>
      </c>
    </row>
    <row r="73" spans="1:28">
      <c r="A73" s="30"/>
      <c r="N73" s="5"/>
      <c r="S73" s="244"/>
    </row>
    <row r="74" spans="1:28" ht="38.25">
      <c r="A74" s="30"/>
      <c r="B74" s="29" t="s">
        <v>413</v>
      </c>
      <c r="C74" s="3" t="s">
        <v>414</v>
      </c>
      <c r="D74" s="29" t="s">
        <v>438</v>
      </c>
      <c r="E74" s="29" t="s">
        <v>429</v>
      </c>
      <c r="F74" s="3" t="s">
        <v>70</v>
      </c>
      <c r="G74" s="3" t="s">
        <v>417</v>
      </c>
      <c r="H74" s="17">
        <v>1.6</v>
      </c>
      <c r="J74" s="2">
        <v>4.18</v>
      </c>
      <c r="M74" s="2">
        <f>UL_OH!R26*5.726</f>
        <v>5.9899832532601236</v>
      </c>
      <c r="N74" s="5">
        <f>AVERAGE(I74:M74)</f>
        <v>5.0849916266300621</v>
      </c>
      <c r="O74" s="3">
        <f>SQRT(VAR(I74:M74))</f>
        <v>1.279851432214316</v>
      </c>
      <c r="P74" s="3">
        <f>COUNT(I74:M74)</f>
        <v>2</v>
      </c>
      <c r="S74" s="244"/>
      <c r="U74" s="2">
        <v>4.22</v>
      </c>
      <c r="Z74" s="5">
        <f>AVERAGE(T74:Y74)</f>
        <v>4.22</v>
      </c>
      <c r="AA74" s="3" t="e">
        <f>SQRT(VAR(T74:Y74))</f>
        <v>#DIV/0!</v>
      </c>
      <c r="AB74" s="3">
        <f>COUNT(T74:Y74)</f>
        <v>1</v>
      </c>
    </row>
    <row r="75" spans="1:28" ht="25.5">
      <c r="A75" s="30"/>
      <c r="G75" s="11" t="s">
        <v>418</v>
      </c>
      <c r="H75" s="11">
        <v>4.4999999999999998E-2</v>
      </c>
      <c r="I75" s="20"/>
      <c r="J75" s="20">
        <v>0.17100000000000001</v>
      </c>
      <c r="K75" s="20"/>
      <c r="L75" s="20"/>
      <c r="M75" s="20">
        <f>UL_OH!R26*0.136</f>
        <v>0.14226994803412099</v>
      </c>
      <c r="N75" s="27">
        <f>AVERAGE(I75:M75)</f>
        <v>0.1566349740170605</v>
      </c>
      <c r="O75" s="11">
        <f>SQRT(VAR(I75:M75))</f>
        <v>2.0315214568914958E-2</v>
      </c>
      <c r="P75" s="11">
        <f>COUNT(I75:M75)</f>
        <v>2</v>
      </c>
      <c r="S75" s="244"/>
      <c r="T75" s="20"/>
      <c r="U75" s="38">
        <v>0.16500000000000001</v>
      </c>
      <c r="V75" s="20"/>
      <c r="W75" s="20"/>
      <c r="X75" s="20"/>
      <c r="Y75" s="20"/>
      <c r="Z75" s="27">
        <f>AVERAGE(T75:Y75)</f>
        <v>0.16500000000000001</v>
      </c>
      <c r="AA75" s="11" t="e">
        <f>SQRT(VAR(T75:Y75))</f>
        <v>#DIV/0!</v>
      </c>
      <c r="AB75" s="11">
        <f>COUNT(T75:Y75)</f>
        <v>1</v>
      </c>
    </row>
    <row r="76" spans="1:28">
      <c r="A76" s="30"/>
      <c r="N76" s="5"/>
      <c r="S76" s="244"/>
    </row>
    <row r="77" spans="1:28" ht="38.25">
      <c r="A77" s="30"/>
      <c r="B77" s="29" t="s">
        <v>413</v>
      </c>
      <c r="C77" s="3" t="s">
        <v>414</v>
      </c>
      <c r="D77" s="29" t="s">
        <v>439</v>
      </c>
      <c r="E77" s="3" t="s">
        <v>416</v>
      </c>
      <c r="F77" s="3" t="s">
        <v>70</v>
      </c>
      <c r="G77" s="3" t="s">
        <v>417</v>
      </c>
      <c r="H77" s="17">
        <v>1.6</v>
      </c>
      <c r="J77" s="2">
        <v>4.71</v>
      </c>
      <c r="N77" s="5">
        <f>AVERAGE(I77:M77)</f>
        <v>4.71</v>
      </c>
      <c r="O77" s="3" t="e">
        <f>SQRT(VAR(I77:M77))</f>
        <v>#DIV/0!</v>
      </c>
      <c r="P77" s="3">
        <f>COUNT(I77:M77)</f>
        <v>1</v>
      </c>
      <c r="S77" s="244"/>
      <c r="U77" s="2">
        <v>4.74</v>
      </c>
      <c r="Z77" s="5">
        <f>AVERAGE(T77:Y77)</f>
        <v>4.74</v>
      </c>
      <c r="AA77" s="3" t="e">
        <f>SQRT(VAR(T77:Y77))</f>
        <v>#DIV/0!</v>
      </c>
      <c r="AB77" s="3">
        <f>COUNT(T77:Y77)</f>
        <v>1</v>
      </c>
    </row>
    <row r="78" spans="1:28" ht="25.5">
      <c r="A78" s="30"/>
      <c r="G78" s="11" t="s">
        <v>418</v>
      </c>
      <c r="H78" s="11">
        <v>4.4999999999999998E-2</v>
      </c>
      <c r="I78" s="20"/>
      <c r="J78" s="20">
        <v>0.19800000000000001</v>
      </c>
      <c r="K78" s="20"/>
      <c r="L78" s="20"/>
      <c r="M78" s="20"/>
      <c r="N78" s="27">
        <f>AVERAGE(I78:M78)</f>
        <v>0.19800000000000001</v>
      </c>
      <c r="O78" s="11" t="e">
        <f>SQRT(VAR(I78:M78))</f>
        <v>#DIV/0!</v>
      </c>
      <c r="P78" s="11">
        <f>COUNT(I78:M78)</f>
        <v>1</v>
      </c>
      <c r="S78" s="244"/>
      <c r="T78" s="20"/>
      <c r="U78" s="20">
        <v>0.159</v>
      </c>
      <c r="V78" s="20"/>
      <c r="W78" s="20"/>
      <c r="X78" s="20"/>
      <c r="Y78" s="20"/>
      <c r="Z78" s="27">
        <f>AVERAGE(T78:Y78)</f>
        <v>0.159</v>
      </c>
      <c r="AA78" s="11" t="e">
        <f>SQRT(VAR(T78:Y78))</f>
        <v>#DIV/0!</v>
      </c>
      <c r="AB78" s="11">
        <f>COUNT(T78:Y78)</f>
        <v>1</v>
      </c>
    </row>
    <row r="79" spans="1:28">
      <c r="A79" s="30"/>
      <c r="N79" s="5"/>
      <c r="S79" s="244"/>
    </row>
    <row r="80" spans="1:28" ht="38.25">
      <c r="A80" s="30"/>
      <c r="B80" s="29" t="s">
        <v>413</v>
      </c>
      <c r="C80" s="3" t="s">
        <v>414</v>
      </c>
      <c r="D80" s="29" t="s">
        <v>439</v>
      </c>
      <c r="E80" s="29" t="s">
        <v>429</v>
      </c>
      <c r="F80" s="3" t="s">
        <v>70</v>
      </c>
      <c r="G80" s="3" t="s">
        <v>417</v>
      </c>
      <c r="H80" s="17">
        <v>1.6</v>
      </c>
      <c r="J80" s="2">
        <v>4.51</v>
      </c>
      <c r="N80" s="5">
        <f>AVERAGE(I80:M80)</f>
        <v>4.51</v>
      </c>
      <c r="O80" s="3" t="e">
        <f>SQRT(VAR(I80:M80))</f>
        <v>#DIV/0!</v>
      </c>
      <c r="P80" s="3">
        <f>COUNT(I80:M80)</f>
        <v>1</v>
      </c>
      <c r="S80" s="244"/>
      <c r="U80" s="2">
        <v>4.5599999999999996</v>
      </c>
      <c r="Z80" s="5">
        <f>AVERAGE(T80:Y80)</f>
        <v>4.5599999999999996</v>
      </c>
      <c r="AA80" s="3" t="e">
        <f>SQRT(VAR(T80:Y80))</f>
        <v>#DIV/0!</v>
      </c>
      <c r="AB80" s="3">
        <f>COUNT(T80:Y80)</f>
        <v>1</v>
      </c>
    </row>
    <row r="81" spans="1:28" ht="25.5">
      <c r="A81" s="30"/>
      <c r="G81" s="11" t="s">
        <v>418</v>
      </c>
      <c r="H81" s="11">
        <v>4.4999999999999998E-2</v>
      </c>
      <c r="I81" s="20"/>
      <c r="J81" s="20">
        <v>0.182</v>
      </c>
      <c r="K81" s="20"/>
      <c r="L81" s="20"/>
      <c r="M81" s="20"/>
      <c r="N81" s="27">
        <f>AVERAGE(I81:M81)</f>
        <v>0.182</v>
      </c>
      <c r="O81" s="11" t="e">
        <f>SQRT(VAR(I81:M81))</f>
        <v>#DIV/0!</v>
      </c>
      <c r="P81" s="11">
        <f>COUNT(I81:M81)</f>
        <v>1</v>
      </c>
      <c r="S81" s="244"/>
      <c r="T81" s="20"/>
      <c r="U81" s="20">
        <v>0.14899999999999999</v>
      </c>
      <c r="V81" s="20"/>
      <c r="W81" s="20"/>
      <c r="X81" s="20"/>
      <c r="Y81" s="20"/>
      <c r="Z81" s="27">
        <f>AVERAGE(T81:Y81)</f>
        <v>0.14899999999999999</v>
      </c>
      <c r="AA81" s="11" t="e">
        <f>SQRT(VAR(T81:Y81))</f>
        <v>#DIV/0!</v>
      </c>
      <c r="AB81" s="11">
        <f>COUNT(T81:Y81)</f>
        <v>1</v>
      </c>
    </row>
    <row r="82" spans="1:28">
      <c r="A82" s="30"/>
      <c r="G82" s="11"/>
      <c r="H82" s="11"/>
      <c r="I82" s="20"/>
      <c r="J82" s="20"/>
      <c r="K82" s="20"/>
      <c r="L82" s="20"/>
      <c r="M82" s="20"/>
      <c r="N82" s="27"/>
      <c r="O82" s="11"/>
      <c r="P82" s="11"/>
      <c r="S82" s="244"/>
      <c r="T82" s="20"/>
      <c r="U82" s="20"/>
      <c r="V82" s="20"/>
      <c r="W82" s="20"/>
      <c r="X82" s="20"/>
      <c r="Y82" s="20"/>
      <c r="Z82" s="27"/>
      <c r="AA82" s="11"/>
      <c r="AB82" s="11"/>
    </row>
    <row r="83" spans="1:28" ht="25.5">
      <c r="A83" s="30"/>
      <c r="B83" s="3" t="s">
        <v>413</v>
      </c>
      <c r="C83" s="3" t="s">
        <v>425</v>
      </c>
      <c r="D83" s="3" t="s">
        <v>440</v>
      </c>
      <c r="E83" s="3" t="s">
        <v>429</v>
      </c>
      <c r="F83" s="29" t="s">
        <v>72</v>
      </c>
      <c r="G83" s="3" t="s">
        <v>417</v>
      </c>
      <c r="H83" s="17">
        <v>1.6</v>
      </c>
      <c r="N83" s="5" t="e">
        <f>AVERAGE(I83:M83)</f>
        <v>#DIV/0!</v>
      </c>
      <c r="O83" s="3" t="e">
        <f>SQRT(VAR(I83:M83))</f>
        <v>#DIV/0!</v>
      </c>
      <c r="P83" s="3">
        <f>COUNT(I83:M83)</f>
        <v>0</v>
      </c>
      <c r="S83" s="244"/>
      <c r="Z83" s="5" t="e">
        <f>AVERAGE(T83:Y83)</f>
        <v>#DIV/0!</v>
      </c>
      <c r="AA83" s="3" t="e">
        <f>SQRT(VAR(T83:Y83))</f>
        <v>#DIV/0!</v>
      </c>
      <c r="AB83" s="3">
        <f>COUNT(T83:Y83)</f>
        <v>0</v>
      </c>
    </row>
    <row r="84" spans="1:28" ht="25.5">
      <c r="A84" s="30"/>
      <c r="G84" s="11" t="s">
        <v>418</v>
      </c>
      <c r="H84" s="11">
        <v>4.4999999999999998E-2</v>
      </c>
      <c r="I84" s="20"/>
      <c r="J84" s="20"/>
      <c r="K84" s="20"/>
      <c r="L84" s="20"/>
      <c r="M84" s="20"/>
      <c r="N84" s="27" t="e">
        <f>AVERAGE(I84:M84)</f>
        <v>#DIV/0!</v>
      </c>
      <c r="O84" s="11" t="e">
        <f>SQRT(VAR(I84:M84))</f>
        <v>#DIV/0!</v>
      </c>
      <c r="P84" s="11">
        <f>COUNT(I84:M84)</f>
        <v>0</v>
      </c>
      <c r="S84" s="244"/>
      <c r="T84" s="20"/>
      <c r="U84" s="20"/>
      <c r="V84" s="20"/>
      <c r="W84" s="20"/>
      <c r="X84" s="20"/>
      <c r="Y84" s="20"/>
      <c r="Z84" s="11" t="e">
        <f>AVERAGE(T84:Y84)</f>
        <v>#DIV/0!</v>
      </c>
      <c r="AA84" s="11" t="e">
        <f>SQRT(VAR(T84:Y84))</f>
        <v>#DIV/0!</v>
      </c>
      <c r="AB84" s="11">
        <f>COUNT(T84:Y84)</f>
        <v>0</v>
      </c>
    </row>
    <row r="85" spans="1:28">
      <c r="A85" s="30"/>
      <c r="N85" s="5"/>
      <c r="S85" s="244"/>
      <c r="Z85" s="5"/>
    </row>
    <row r="86" spans="1:28">
      <c r="A86" s="30"/>
      <c r="N86" s="5"/>
      <c r="Z86" s="5"/>
    </row>
    <row r="87" spans="1:28">
      <c r="N87" s="5"/>
      <c r="Z87" s="5"/>
    </row>
    <row r="88" spans="1:28">
      <c r="N88" s="5"/>
      <c r="Z88" s="5"/>
    </row>
    <row r="89" spans="1:28">
      <c r="N89" s="5"/>
      <c r="Z89" s="5"/>
    </row>
    <row r="90" spans="1:28">
      <c r="N90" s="5"/>
      <c r="Z90" s="5"/>
    </row>
    <row r="91" spans="1:28">
      <c r="N91" s="5"/>
      <c r="Z91" s="5"/>
    </row>
    <row r="92" spans="1:28">
      <c r="N92" s="5"/>
      <c r="Z92" s="5"/>
    </row>
    <row r="93" spans="1:28">
      <c r="N93" s="5"/>
      <c r="Z93" s="5"/>
    </row>
    <row r="94" spans="1:28">
      <c r="N94" s="5"/>
      <c r="Z94" s="5"/>
    </row>
    <row r="95" spans="1:28">
      <c r="N95" s="5"/>
      <c r="Z95" s="5"/>
    </row>
    <row r="96" spans="1:28">
      <c r="N96" s="5"/>
      <c r="Z96" s="5"/>
    </row>
    <row r="97" spans="14:26">
      <c r="N97" s="5"/>
      <c r="Z97" s="5"/>
    </row>
    <row r="98" spans="14:26">
      <c r="N98" s="5"/>
      <c r="Z98" s="5"/>
    </row>
    <row r="99" spans="14:26">
      <c r="N99" s="5"/>
      <c r="Z99" s="5"/>
    </row>
    <row r="100" spans="14:26">
      <c r="N100" s="5"/>
      <c r="Z100" s="5"/>
    </row>
    <row r="101" spans="14:26">
      <c r="N101" s="5"/>
      <c r="Z101" s="5"/>
    </row>
    <row r="102" spans="14:26">
      <c r="N102" s="5"/>
      <c r="Z102" s="5"/>
    </row>
    <row r="103" spans="14:26">
      <c r="N103" s="5"/>
      <c r="Z103" s="5"/>
    </row>
    <row r="104" spans="14:26">
      <c r="N104" s="5"/>
      <c r="Z104" s="5"/>
    </row>
    <row r="105" spans="14:26">
      <c r="N105" s="5"/>
      <c r="Z105" s="5"/>
    </row>
    <row r="106" spans="14:26">
      <c r="N106" s="5"/>
      <c r="Z106" s="5"/>
    </row>
    <row r="107" spans="14:26">
      <c r="N107" s="5"/>
      <c r="Z107" s="5"/>
    </row>
    <row r="108" spans="14:26">
      <c r="N108" s="5"/>
      <c r="Z108" s="5"/>
    </row>
    <row r="109" spans="14:26">
      <c r="N109" s="5"/>
      <c r="Z109" s="5"/>
    </row>
    <row r="110" spans="14:26">
      <c r="N110" s="5"/>
      <c r="Z110" s="5"/>
    </row>
    <row r="111" spans="14:26">
      <c r="N111" s="5"/>
      <c r="Z111" s="5"/>
    </row>
    <row r="112" spans="14:26">
      <c r="N112" s="5"/>
      <c r="Z112" s="5"/>
    </row>
    <row r="113" spans="14:26">
      <c r="N113" s="5"/>
      <c r="Z113" s="5"/>
    </row>
    <row r="114" spans="14:26">
      <c r="N114" s="5"/>
      <c r="Z114" s="5"/>
    </row>
    <row r="115" spans="14:26">
      <c r="N115" s="5"/>
      <c r="Z115" s="5"/>
    </row>
    <row r="116" spans="14:26">
      <c r="N116" s="5"/>
      <c r="Z116" s="5"/>
    </row>
    <row r="117" spans="14:26">
      <c r="N117" s="5"/>
      <c r="Z117" s="5"/>
    </row>
    <row r="118" spans="14:26">
      <c r="N118" s="5"/>
      <c r="Z118" s="5"/>
    </row>
    <row r="119" spans="14:26">
      <c r="N119" s="5"/>
      <c r="Z119" s="5"/>
    </row>
    <row r="120" spans="14:26">
      <c r="N120" s="5"/>
      <c r="Z120" s="5"/>
    </row>
    <row r="121" spans="14:26">
      <c r="N121" s="5"/>
      <c r="Z121" s="5"/>
    </row>
    <row r="122" spans="14:26">
      <c r="N122" s="5"/>
      <c r="Z122" s="5"/>
    </row>
    <row r="123" spans="14:26">
      <c r="N123" s="5"/>
      <c r="Z123" s="5"/>
    </row>
    <row r="124" spans="14:26">
      <c r="N124" s="5"/>
      <c r="Z124" s="5"/>
    </row>
    <row r="125" spans="14:26">
      <c r="N125" s="5"/>
      <c r="Z125" s="5"/>
    </row>
    <row r="126" spans="14:26">
      <c r="N126" s="5"/>
      <c r="Z126" s="5"/>
    </row>
    <row r="127" spans="14:26">
      <c r="N127" s="5"/>
      <c r="Z127" s="5"/>
    </row>
    <row r="128" spans="14:26">
      <c r="N128" s="5"/>
      <c r="Z128" s="5"/>
    </row>
  </sheetData>
  <mergeCells count="6">
    <mergeCell ref="S72:S85"/>
    <mergeCell ref="G1:H1"/>
    <mergeCell ref="A2:A26"/>
    <mergeCell ref="A48:A63"/>
    <mergeCell ref="S2:S38"/>
    <mergeCell ref="S48:S63"/>
  </mergeCells>
  <phoneticPr fontId="11" type="noConversion"/>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8"/>
  <sheetViews>
    <sheetView zoomScale="70" zoomScaleNormal="70" workbookViewId="0">
      <pane xSplit="8" ySplit="2" topLeftCell="I90" activePane="bottomRight" state="frozen"/>
      <selection pane="topRight"/>
      <selection pane="bottomLeft"/>
      <selection pane="bottomRight" activeCell="J68" sqref="J68:J74"/>
    </sheetView>
  </sheetViews>
  <sheetFormatPr defaultColWidth="9.28515625" defaultRowHeight="12.75"/>
  <cols>
    <col min="1" max="1" width="9.28515625" style="3"/>
    <col min="2" max="2" width="5.7109375" style="3" customWidth="1"/>
    <col min="3" max="3" width="24.28515625" style="3" customWidth="1"/>
    <col min="4" max="4" width="18.5703125" style="3" customWidth="1"/>
    <col min="5" max="5" width="11.28515625" style="3" customWidth="1"/>
    <col min="6" max="6" width="9.28515625" style="3" customWidth="1"/>
    <col min="7" max="7" width="16.42578125" style="3" customWidth="1"/>
    <col min="8" max="8" width="6.42578125" style="3" customWidth="1"/>
    <col min="9" max="13" width="9.28515625" style="2" customWidth="1"/>
    <col min="14" max="15" width="9.28515625" style="3" customWidth="1"/>
    <col min="16" max="19" width="9.28515625" style="3"/>
    <col min="20" max="25" width="9.28515625" style="2" customWidth="1"/>
    <col min="26" max="27" width="9.28515625" style="3" customWidth="1"/>
    <col min="28" max="16384" width="9.28515625" style="3"/>
  </cols>
  <sheetData>
    <row r="1" spans="1:28" s="1" customFormat="1" ht="40.9" customHeight="1">
      <c r="A1" s="6" t="s">
        <v>403</v>
      </c>
      <c r="B1" s="1" t="s">
        <v>404</v>
      </c>
      <c r="C1" s="1" t="s">
        <v>405</v>
      </c>
      <c r="D1" s="1" t="s">
        <v>406</v>
      </c>
      <c r="E1" s="1" t="s">
        <v>57</v>
      </c>
      <c r="F1" s="1" t="s">
        <v>67</v>
      </c>
      <c r="G1" s="245" t="s">
        <v>407</v>
      </c>
      <c r="H1" s="245"/>
      <c r="I1" s="23" t="s">
        <v>5</v>
      </c>
      <c r="J1" s="15" t="s">
        <v>14</v>
      </c>
      <c r="K1" s="15" t="s">
        <v>16</v>
      </c>
      <c r="L1" s="15" t="s">
        <v>18</v>
      </c>
      <c r="M1" s="33" t="s">
        <v>20</v>
      </c>
      <c r="N1" s="1" t="s">
        <v>408</v>
      </c>
      <c r="O1" s="1" t="s">
        <v>409</v>
      </c>
      <c r="P1" s="1" t="s">
        <v>410</v>
      </c>
      <c r="S1" s="6" t="s">
        <v>411</v>
      </c>
      <c r="T1" s="23" t="str">
        <f>I1</f>
        <v>Huawei</v>
      </c>
      <c r="U1" s="33" t="s">
        <v>12</v>
      </c>
      <c r="V1" s="23" t="str">
        <f>J1</f>
        <v>CAICT</v>
      </c>
      <c r="W1" s="23" t="str">
        <f>K1</f>
        <v>OPPO</v>
      </c>
      <c r="X1" s="24" t="s">
        <v>20</v>
      </c>
      <c r="Y1" s="23" t="s">
        <v>23</v>
      </c>
      <c r="Z1" s="1" t="s">
        <v>408</v>
      </c>
      <c r="AA1" s="1" t="s">
        <v>409</v>
      </c>
      <c r="AB1" s="1" t="s">
        <v>410</v>
      </c>
    </row>
    <row r="2" spans="1:28">
      <c r="A2" s="246" t="s">
        <v>412</v>
      </c>
      <c r="B2" s="9" t="s">
        <v>49</v>
      </c>
      <c r="C2" s="9"/>
      <c r="D2" s="9" t="s">
        <v>49</v>
      </c>
      <c r="E2" s="9"/>
      <c r="F2" s="9"/>
      <c r="G2" s="9"/>
      <c r="H2" s="9"/>
      <c r="I2" s="16"/>
      <c r="J2" s="16"/>
      <c r="K2" s="16"/>
      <c r="L2" s="16"/>
      <c r="M2" s="16"/>
      <c r="N2" s="26"/>
      <c r="O2" s="13"/>
      <c r="P2" s="13"/>
      <c r="S2" s="246" t="s">
        <v>412</v>
      </c>
      <c r="T2" s="16"/>
      <c r="U2" s="16"/>
      <c r="V2" s="16"/>
      <c r="W2" s="16"/>
      <c r="X2" s="16"/>
      <c r="Y2" s="16"/>
      <c r="Z2" s="26"/>
      <c r="AA2" s="13"/>
      <c r="AB2" s="13"/>
    </row>
    <row r="3" spans="1:28" ht="25.5">
      <c r="A3" s="246"/>
      <c r="B3" s="3" t="s">
        <v>413</v>
      </c>
      <c r="C3" s="3" t="s">
        <v>441</v>
      </c>
      <c r="D3" s="3" t="s">
        <v>442</v>
      </c>
      <c r="E3" s="3" t="s">
        <v>416</v>
      </c>
      <c r="G3" s="3" t="s">
        <v>417</v>
      </c>
      <c r="H3" s="17">
        <v>3.3</v>
      </c>
      <c r="I3" s="2">
        <v>13.6</v>
      </c>
      <c r="J3" s="2">
        <v>11.3719</v>
      </c>
      <c r="K3" s="2">
        <v>13.18</v>
      </c>
      <c r="N3" s="5">
        <f>AVERAGE(I3:M3)</f>
        <v>12.7173</v>
      </c>
      <c r="O3" s="3">
        <f>SQRT(VAR(I3:M3))</f>
        <v>1.1839239291440982</v>
      </c>
      <c r="P3" s="3">
        <f>COUNT(I3:M3)</f>
        <v>3</v>
      </c>
      <c r="S3" s="246"/>
      <c r="T3" s="2">
        <v>13.532999999999999</v>
      </c>
      <c r="U3" s="2">
        <v>14.51</v>
      </c>
      <c r="W3" s="2">
        <v>13.56</v>
      </c>
      <c r="Z3" s="5">
        <f>AVERAGE(T3:Y3)</f>
        <v>13.867666666666667</v>
      </c>
      <c r="AA3" s="3">
        <f>SQRT(VAR(T3:Y3))</f>
        <v>0.55644077252959567</v>
      </c>
      <c r="AB3" s="3">
        <f>COUNT(T3:Y3)</f>
        <v>3</v>
      </c>
    </row>
    <row r="4" spans="1:28" ht="25.5">
      <c r="A4" s="246"/>
      <c r="G4" s="11" t="s">
        <v>418</v>
      </c>
      <c r="H4" s="11">
        <v>0.12</v>
      </c>
      <c r="I4" s="20">
        <v>0.35399999999999998</v>
      </c>
      <c r="J4" s="20">
        <v>0.34760000000000002</v>
      </c>
      <c r="K4" s="20">
        <v>0.48</v>
      </c>
      <c r="L4" s="20"/>
      <c r="M4" s="20"/>
      <c r="N4" s="27">
        <f>AVERAGE(I4:M4)</f>
        <v>0.39386666666666664</v>
      </c>
      <c r="O4" s="11">
        <f>SQRT(VAR(I4:M4))</f>
        <v>7.4662261774830485E-2</v>
      </c>
      <c r="P4" s="11">
        <f>COUNT(I4:M4)</f>
        <v>3</v>
      </c>
      <c r="S4" s="246"/>
      <c r="T4" s="20">
        <v>0.34499999999999997</v>
      </c>
      <c r="U4" s="20">
        <v>0.499</v>
      </c>
      <c r="V4" s="20"/>
      <c r="W4" s="20">
        <v>0.49</v>
      </c>
      <c r="X4" s="20"/>
      <c r="Y4" s="20"/>
      <c r="Z4" s="27">
        <f>AVERAGE(T4:Y4)</f>
        <v>0.44466666666666671</v>
      </c>
      <c r="AA4" s="11">
        <f>SQRT(VAR(T4:Y4))</f>
        <v>8.6431090085300324E-2</v>
      </c>
      <c r="AB4" s="11">
        <f>COUNT(T4:Y4)</f>
        <v>3</v>
      </c>
    </row>
    <row r="5" spans="1:28">
      <c r="A5" s="246"/>
      <c r="N5" s="5"/>
      <c r="S5" s="246"/>
      <c r="Z5" s="5"/>
    </row>
    <row r="6" spans="1:28" ht="25.5">
      <c r="A6" s="246"/>
      <c r="B6" s="3" t="s">
        <v>413</v>
      </c>
      <c r="C6" s="3" t="s">
        <v>443</v>
      </c>
      <c r="D6" s="29" t="s">
        <v>444</v>
      </c>
      <c r="E6" s="3" t="s">
        <v>416</v>
      </c>
      <c r="G6" s="3" t="s">
        <v>417</v>
      </c>
      <c r="H6" s="17">
        <v>3.3</v>
      </c>
      <c r="N6" s="5" t="e">
        <f>AVERAGE(I6:M6)</f>
        <v>#DIV/0!</v>
      </c>
      <c r="O6" s="3" t="e">
        <f>SQRT(VAR(I6:M6))</f>
        <v>#DIV/0!</v>
      </c>
      <c r="P6" s="3">
        <f>COUNT(I6:M6)</f>
        <v>0</v>
      </c>
      <c r="S6" s="246"/>
      <c r="U6" s="2">
        <v>16.63</v>
      </c>
      <c r="Z6" s="5">
        <f>AVERAGE(T6:Y6)</f>
        <v>16.63</v>
      </c>
      <c r="AA6" s="3" t="e">
        <f>SQRT(VAR(T6:Y6))</f>
        <v>#DIV/0!</v>
      </c>
      <c r="AB6" s="3">
        <f>COUNT(T6:Y6)</f>
        <v>1</v>
      </c>
    </row>
    <row r="7" spans="1:28" ht="25.5">
      <c r="A7" s="246"/>
      <c r="G7" s="11" t="s">
        <v>418</v>
      </c>
      <c r="H7" s="11">
        <v>0.12</v>
      </c>
      <c r="I7" s="20"/>
      <c r="J7" s="20"/>
      <c r="K7" s="20"/>
      <c r="L7" s="20"/>
      <c r="M7" s="20"/>
      <c r="N7" s="27" t="e">
        <f>AVERAGE(I7:M7)</f>
        <v>#DIV/0!</v>
      </c>
      <c r="O7" s="11" t="e">
        <f>SQRT(VAR(I7:M7))</f>
        <v>#DIV/0!</v>
      </c>
      <c r="P7" s="11">
        <f>COUNT(I7:M7)</f>
        <v>0</v>
      </c>
      <c r="S7" s="246"/>
      <c r="T7" s="20"/>
      <c r="U7" s="20">
        <v>0.51500000000000001</v>
      </c>
      <c r="V7" s="20"/>
      <c r="W7" s="20"/>
      <c r="X7" s="20"/>
      <c r="Y7" s="20"/>
      <c r="Z7" s="27">
        <f>AVERAGE(T7:Y7)</f>
        <v>0.51500000000000001</v>
      </c>
      <c r="AA7" s="11" t="e">
        <f>SQRT(VAR(T7:Y7))</f>
        <v>#DIV/0!</v>
      </c>
      <c r="AB7" s="11">
        <f>COUNT(T7:Y7)</f>
        <v>1</v>
      </c>
    </row>
    <row r="8" spans="1:28">
      <c r="A8" s="246"/>
      <c r="N8" s="5"/>
      <c r="S8" s="246"/>
      <c r="Z8" s="5"/>
    </row>
    <row r="9" spans="1:28" ht="25.5">
      <c r="A9" s="246"/>
      <c r="B9" s="3" t="s">
        <v>413</v>
      </c>
      <c r="C9" s="3" t="s">
        <v>445</v>
      </c>
      <c r="D9" s="29" t="s">
        <v>446</v>
      </c>
      <c r="E9" s="3" t="s">
        <v>416</v>
      </c>
      <c r="G9" s="3" t="s">
        <v>417</v>
      </c>
      <c r="H9" s="17">
        <v>3.3</v>
      </c>
      <c r="N9" s="5" t="e">
        <f>AVERAGE(I9:M9)</f>
        <v>#DIV/0!</v>
      </c>
      <c r="O9" s="3" t="e">
        <f>SQRT(VAR(I9:M9))</f>
        <v>#DIV/0!</v>
      </c>
      <c r="P9" s="3">
        <f>COUNT(I9:M9)</f>
        <v>0</v>
      </c>
      <c r="S9" s="246"/>
      <c r="Z9" s="5" t="e">
        <f>AVERAGE(T9:Y9)</f>
        <v>#DIV/0!</v>
      </c>
      <c r="AA9" s="3" t="e">
        <f>SQRT(VAR(T9:Y9))</f>
        <v>#DIV/0!</v>
      </c>
      <c r="AB9" s="3">
        <f>COUNT(T9:Y9)</f>
        <v>0</v>
      </c>
    </row>
    <row r="10" spans="1:28" ht="25.5">
      <c r="A10" s="246"/>
      <c r="G10" s="11" t="s">
        <v>418</v>
      </c>
      <c r="H10" s="11">
        <v>0.12</v>
      </c>
      <c r="I10" s="20"/>
      <c r="J10" s="20"/>
      <c r="K10" s="20"/>
      <c r="L10" s="20"/>
      <c r="M10" s="20"/>
      <c r="N10" s="27" t="e">
        <f>AVERAGE(I10:M10)</f>
        <v>#DIV/0!</v>
      </c>
      <c r="O10" s="11" t="e">
        <f>SQRT(VAR(I10:M10))</f>
        <v>#DIV/0!</v>
      </c>
      <c r="P10" s="11">
        <f>COUNT(I10:M10)</f>
        <v>0</v>
      </c>
      <c r="S10" s="246"/>
      <c r="T10" s="20"/>
      <c r="U10" s="20"/>
      <c r="V10" s="20"/>
      <c r="W10" s="20"/>
      <c r="X10" s="20"/>
      <c r="Y10" s="20"/>
      <c r="Z10" s="27" t="e">
        <f>AVERAGE(T10:Y10)</f>
        <v>#DIV/0!</v>
      </c>
      <c r="AA10" s="11" t="e">
        <f>SQRT(VAR(T10:Y10))</f>
        <v>#DIV/0!</v>
      </c>
      <c r="AB10" s="11">
        <f>COUNT(T10:Y10)</f>
        <v>0</v>
      </c>
    </row>
    <row r="11" spans="1:28">
      <c r="A11" s="246"/>
      <c r="N11" s="5"/>
      <c r="S11" s="246"/>
      <c r="Z11" s="5"/>
    </row>
    <row r="12" spans="1:28" ht="25.5">
      <c r="A12" s="246"/>
      <c r="B12" s="29" t="s">
        <v>419</v>
      </c>
      <c r="C12" s="3" t="s">
        <v>441</v>
      </c>
      <c r="D12" s="3" t="s">
        <v>442</v>
      </c>
      <c r="E12" s="3" t="s">
        <v>416</v>
      </c>
      <c r="G12" s="3" t="s">
        <v>417</v>
      </c>
      <c r="H12" s="17">
        <v>3.3</v>
      </c>
      <c r="N12" s="5" t="e">
        <f>AVERAGE(I12:M12)</f>
        <v>#DIV/0!</v>
      </c>
      <c r="O12" s="3" t="e">
        <f>SQRT(VAR(I12:M12))</f>
        <v>#DIV/0!</v>
      </c>
      <c r="P12" s="3">
        <f>COUNT(I12:M12)</f>
        <v>0</v>
      </c>
      <c r="S12" s="246"/>
      <c r="U12" s="2">
        <v>9.6300000000000008</v>
      </c>
      <c r="Z12" s="5">
        <f>AVERAGE(T12:Y12)</f>
        <v>9.6300000000000008</v>
      </c>
      <c r="AA12" s="3" t="e">
        <f>SQRT(VAR(T12:Y12))</f>
        <v>#DIV/0!</v>
      </c>
      <c r="AB12" s="3">
        <f>COUNT(T12:Y12)</f>
        <v>1</v>
      </c>
    </row>
    <row r="13" spans="1:28" ht="25.5">
      <c r="A13" s="246"/>
      <c r="G13" s="11" t="s">
        <v>418</v>
      </c>
      <c r="H13" s="11">
        <v>0.12</v>
      </c>
      <c r="I13" s="20"/>
      <c r="J13" s="20"/>
      <c r="K13" s="20"/>
      <c r="L13" s="20"/>
      <c r="M13" s="20"/>
      <c r="N13" s="27" t="e">
        <f>AVERAGE(I13:M13)</f>
        <v>#DIV/0!</v>
      </c>
      <c r="O13" s="11" t="e">
        <f>SQRT(VAR(I13:M13))</f>
        <v>#DIV/0!</v>
      </c>
      <c r="P13" s="11">
        <f>COUNT(I13:M13)</f>
        <v>0</v>
      </c>
      <c r="S13" s="246"/>
      <c r="T13" s="20"/>
      <c r="U13" s="20">
        <v>0.27900000000000003</v>
      </c>
      <c r="V13" s="20"/>
      <c r="W13" s="20"/>
      <c r="X13" s="20"/>
      <c r="Y13" s="20"/>
      <c r="Z13" s="27">
        <f>AVERAGE(T13:Y13)</f>
        <v>0.27900000000000003</v>
      </c>
      <c r="AA13" s="11" t="e">
        <f>SQRT(VAR(T13:Y13))</f>
        <v>#DIV/0!</v>
      </c>
      <c r="AB13" s="11">
        <f>COUNT(T13:Y13)</f>
        <v>1</v>
      </c>
    </row>
    <row r="14" spans="1:28">
      <c r="A14" s="246"/>
      <c r="N14" s="5" t="e">
        <f>AVERAGE(I14:M14)</f>
        <v>#DIV/0!</v>
      </c>
      <c r="O14" s="3" t="e">
        <f>SQRT(VAR(I14:M14))</f>
        <v>#DIV/0!</v>
      </c>
      <c r="P14" s="3">
        <f>COUNT(I14:M14)</f>
        <v>0</v>
      </c>
      <c r="S14" s="246"/>
      <c r="Z14" s="5"/>
    </row>
    <row r="15" spans="1:28" ht="25.5">
      <c r="A15" s="246"/>
      <c r="B15" s="3" t="s">
        <v>413</v>
      </c>
      <c r="C15" s="3" t="s">
        <v>445</v>
      </c>
      <c r="D15" s="3" t="s">
        <v>447</v>
      </c>
      <c r="E15" s="3" t="s">
        <v>416</v>
      </c>
      <c r="G15" s="3" t="s">
        <v>417</v>
      </c>
      <c r="H15" s="17">
        <v>3.3</v>
      </c>
      <c r="N15" s="5" t="e">
        <f>AVERAGE(I15:M15)</f>
        <v>#DIV/0!</v>
      </c>
      <c r="O15" s="3" t="e">
        <f>SQRT(VAR(I15:M15))</f>
        <v>#DIV/0!</v>
      </c>
      <c r="P15" s="3">
        <f>COUNT(I15:M15)</f>
        <v>0</v>
      </c>
      <c r="S15" s="246"/>
      <c r="Z15" s="5" t="e">
        <f>AVERAGE(T15:Y15)</f>
        <v>#DIV/0!</v>
      </c>
      <c r="AA15" s="3" t="e">
        <f>SQRT(VAR(T15:Y15))</f>
        <v>#DIV/0!</v>
      </c>
      <c r="AB15" s="3">
        <f>COUNT(T15:Y15)</f>
        <v>0</v>
      </c>
    </row>
    <row r="16" spans="1:28" ht="25.5">
      <c r="A16" s="246"/>
      <c r="G16" s="11" t="s">
        <v>418</v>
      </c>
      <c r="H16" s="11">
        <v>0.12</v>
      </c>
      <c r="I16" s="20"/>
      <c r="J16" s="20"/>
      <c r="K16" s="20"/>
      <c r="L16" s="20"/>
      <c r="M16" s="20"/>
      <c r="N16" s="27" t="e">
        <f>AVERAGE(I16:M16)</f>
        <v>#DIV/0!</v>
      </c>
      <c r="O16" s="11" t="e">
        <f>SQRT(VAR(I16:M16))</f>
        <v>#DIV/0!</v>
      </c>
      <c r="P16" s="11">
        <f>COUNT(I16:M16)</f>
        <v>0</v>
      </c>
      <c r="S16" s="246"/>
      <c r="T16" s="20"/>
      <c r="U16" s="20"/>
      <c r="V16" s="20"/>
      <c r="W16" s="20"/>
      <c r="X16" s="20"/>
      <c r="Y16" s="20"/>
      <c r="Z16" s="190" t="e">
        <f>AVERAGE(T16:Y16)</f>
        <v>#DIV/0!</v>
      </c>
      <c r="AA16" s="191" t="e">
        <f>SQRT(VAR(T16:Y16))</f>
        <v>#DIV/0!</v>
      </c>
      <c r="AB16" s="191">
        <f>COUNT(T16:Y16)</f>
        <v>0</v>
      </c>
    </row>
    <row r="17" spans="1:28">
      <c r="A17" s="246"/>
      <c r="N17" s="5"/>
      <c r="S17" s="246"/>
      <c r="Z17" s="5"/>
    </row>
    <row r="18" spans="1:28" ht="25.5">
      <c r="A18" s="246"/>
      <c r="B18" s="3" t="s">
        <v>413</v>
      </c>
      <c r="C18" s="3" t="s">
        <v>445</v>
      </c>
      <c r="D18" s="3" t="s">
        <v>448</v>
      </c>
      <c r="E18" s="3" t="s">
        <v>416</v>
      </c>
      <c r="G18" s="3" t="s">
        <v>417</v>
      </c>
      <c r="H18" s="17">
        <v>3.3</v>
      </c>
      <c r="N18" s="5" t="e">
        <f>AVERAGE(I18:M18)</f>
        <v>#DIV/0!</v>
      </c>
      <c r="O18" s="3" t="e">
        <f>SQRT(VAR(I18:M18))</f>
        <v>#DIV/0!</v>
      </c>
      <c r="P18" s="3">
        <f>COUNT(I18:M18)</f>
        <v>0</v>
      </c>
      <c r="S18" s="246"/>
      <c r="Z18" s="5" t="e">
        <f>AVERAGE(T18:Y18)</f>
        <v>#DIV/0!</v>
      </c>
      <c r="AA18" s="3" t="e">
        <f>SQRT(VAR(T18:Y18))</f>
        <v>#DIV/0!</v>
      </c>
      <c r="AB18" s="3">
        <f>COUNT(T18:Y18)</f>
        <v>0</v>
      </c>
    </row>
    <row r="19" spans="1:28" ht="25.5">
      <c r="A19" s="246"/>
      <c r="G19" s="11" t="s">
        <v>418</v>
      </c>
      <c r="H19" s="11">
        <v>0.12</v>
      </c>
      <c r="I19" s="20"/>
      <c r="J19" s="20"/>
      <c r="K19" s="20"/>
      <c r="L19" s="20"/>
      <c r="M19" s="20"/>
      <c r="N19" s="27" t="e">
        <f>AVERAGE(I19:M19)</f>
        <v>#DIV/0!</v>
      </c>
      <c r="O19" s="11" t="e">
        <f>SQRT(VAR(I19:M19))</f>
        <v>#DIV/0!</v>
      </c>
      <c r="P19" s="11">
        <f>COUNT(I19:M19)</f>
        <v>0</v>
      </c>
      <c r="S19" s="246"/>
      <c r="T19" s="20"/>
      <c r="U19" s="20"/>
      <c r="V19" s="20"/>
      <c r="W19" s="20"/>
      <c r="X19" s="20"/>
      <c r="Y19" s="20"/>
      <c r="Z19" s="27" t="e">
        <f>AVERAGE(T19:Y19)</f>
        <v>#DIV/0!</v>
      </c>
      <c r="AA19" s="11" t="e">
        <f>SQRT(VAR(T19:Y19))</f>
        <v>#DIV/0!</v>
      </c>
      <c r="AB19" s="11">
        <f>COUNT(T19:Y19)</f>
        <v>0</v>
      </c>
    </row>
    <row r="20" spans="1:28">
      <c r="A20" s="246"/>
      <c r="N20" s="5"/>
      <c r="S20" s="246"/>
      <c r="Z20" s="5"/>
    </row>
    <row r="21" spans="1:28" ht="25.5">
      <c r="A21" s="246"/>
      <c r="B21" s="3" t="s">
        <v>413</v>
      </c>
      <c r="C21" s="3" t="s">
        <v>445</v>
      </c>
      <c r="D21" s="3" t="s">
        <v>449</v>
      </c>
      <c r="E21" s="3" t="s">
        <v>416</v>
      </c>
      <c r="G21" s="3" t="s">
        <v>417</v>
      </c>
      <c r="H21" s="17">
        <v>3.3</v>
      </c>
      <c r="N21" s="5" t="e">
        <f>AVERAGE(I21:M21)</f>
        <v>#DIV/0!</v>
      </c>
      <c r="O21" s="3" t="e">
        <f>SQRT(VAR(I21:M21))</f>
        <v>#DIV/0!</v>
      </c>
      <c r="P21" s="3">
        <f>COUNT(I21:M21)</f>
        <v>0</v>
      </c>
      <c r="S21" s="246"/>
      <c r="Z21" s="5" t="e">
        <f>AVERAGE(T21:Y21)</f>
        <v>#DIV/0!</v>
      </c>
      <c r="AA21" s="3" t="e">
        <f>SQRT(VAR(T21:Y21))</f>
        <v>#DIV/0!</v>
      </c>
      <c r="AB21" s="3">
        <f>COUNT(T21:Y21)</f>
        <v>0</v>
      </c>
    </row>
    <row r="22" spans="1:28" ht="25.5">
      <c r="A22" s="246"/>
      <c r="G22" s="11" t="s">
        <v>418</v>
      </c>
      <c r="H22" s="11">
        <v>0.12</v>
      </c>
      <c r="I22" s="20"/>
      <c r="J22" s="20"/>
      <c r="K22" s="20"/>
      <c r="L22" s="20"/>
      <c r="M22" s="20"/>
      <c r="N22" s="27" t="e">
        <f>AVERAGE(I22:M22)</f>
        <v>#DIV/0!</v>
      </c>
      <c r="O22" s="11" t="e">
        <f>SQRT(VAR(I22:M22))</f>
        <v>#DIV/0!</v>
      </c>
      <c r="P22" s="11">
        <f>COUNT(I22:M22)</f>
        <v>0</v>
      </c>
      <c r="S22" s="246"/>
      <c r="T22" s="20"/>
      <c r="U22" s="20"/>
      <c r="V22" s="20"/>
      <c r="W22" s="20"/>
      <c r="X22" s="20"/>
      <c r="Y22" s="20"/>
      <c r="Z22" s="27" t="e">
        <f>AVERAGE(T22:Y22)</f>
        <v>#DIV/0!</v>
      </c>
      <c r="AA22" s="11" t="e">
        <f>SQRT(VAR(T22:Y22))</f>
        <v>#DIV/0!</v>
      </c>
      <c r="AB22" s="11">
        <f>COUNT(T22:Y22)</f>
        <v>0</v>
      </c>
    </row>
    <row r="23" spans="1:28">
      <c r="A23" s="246"/>
      <c r="N23" s="5"/>
      <c r="S23" s="246"/>
      <c r="Z23" s="5"/>
    </row>
    <row r="24" spans="1:28" ht="25.5">
      <c r="A24" s="246"/>
      <c r="B24" s="3" t="s">
        <v>413</v>
      </c>
      <c r="C24" s="3" t="s">
        <v>443</v>
      </c>
      <c r="D24" s="3" t="s">
        <v>450</v>
      </c>
      <c r="E24" s="3" t="s">
        <v>416</v>
      </c>
      <c r="G24" s="3" t="s">
        <v>417</v>
      </c>
      <c r="H24" s="17">
        <v>3.3</v>
      </c>
      <c r="N24" s="5" t="e">
        <f>AVERAGE(I24:M24)</f>
        <v>#DIV/0!</v>
      </c>
      <c r="O24" s="3" t="e">
        <f>SQRT(VAR(I24:M24))</f>
        <v>#DIV/0!</v>
      </c>
      <c r="P24" s="3">
        <f>COUNT(I24:M24)</f>
        <v>0</v>
      </c>
      <c r="S24" s="246"/>
      <c r="Z24" s="5" t="e">
        <f>AVERAGE(T24:Y24)</f>
        <v>#DIV/0!</v>
      </c>
      <c r="AA24" s="3" t="e">
        <f>SQRT(VAR(T24:Y24))</f>
        <v>#DIV/0!</v>
      </c>
      <c r="AB24" s="3">
        <f>COUNT(T24:Y24)</f>
        <v>0</v>
      </c>
    </row>
    <row r="25" spans="1:28" ht="25.5">
      <c r="A25" s="246"/>
      <c r="G25" s="11" t="s">
        <v>418</v>
      </c>
      <c r="H25" s="11">
        <v>0.12</v>
      </c>
      <c r="I25" s="20"/>
      <c r="J25" s="20"/>
      <c r="K25" s="20"/>
      <c r="L25" s="20"/>
      <c r="M25" s="20"/>
      <c r="N25" s="27" t="e">
        <f>AVERAGE(I25:M25)</f>
        <v>#DIV/0!</v>
      </c>
      <c r="O25" s="11" t="e">
        <f>SQRT(VAR(I25:M25))</f>
        <v>#DIV/0!</v>
      </c>
      <c r="P25" s="11">
        <f>COUNT(I25:M25)</f>
        <v>0</v>
      </c>
      <c r="S25" s="246"/>
      <c r="T25" s="20"/>
      <c r="U25" s="20"/>
      <c r="V25" s="20"/>
      <c r="W25" s="20"/>
      <c r="X25" s="20"/>
      <c r="Y25" s="20"/>
      <c r="Z25" s="27" t="e">
        <f>AVERAGE(T25:Y25)</f>
        <v>#DIV/0!</v>
      </c>
      <c r="AA25" s="11" t="e">
        <f>SQRT(VAR(T25:Y25))</f>
        <v>#DIV/0!</v>
      </c>
      <c r="AB25" s="11">
        <f>COUNT(T25:Y25)</f>
        <v>0</v>
      </c>
    </row>
    <row r="26" spans="1:28">
      <c r="A26" s="246"/>
      <c r="N26" s="5"/>
      <c r="S26" s="246"/>
      <c r="Z26" s="5"/>
    </row>
    <row r="27" spans="1:28">
      <c r="A27" s="246"/>
      <c r="N27" s="5"/>
      <c r="S27" s="246"/>
      <c r="Z27" s="5"/>
    </row>
    <row r="28" spans="1:28">
      <c r="A28" s="246"/>
      <c r="B28" s="9" t="s">
        <v>50</v>
      </c>
      <c r="C28" s="9"/>
      <c r="D28" s="9" t="s">
        <v>50</v>
      </c>
      <c r="E28" s="9"/>
      <c r="F28" s="9"/>
      <c r="G28" s="13"/>
      <c r="H28" s="13"/>
      <c r="I28" s="16"/>
      <c r="J28" s="16"/>
      <c r="K28" s="16"/>
      <c r="L28" s="16"/>
      <c r="M28" s="16"/>
      <c r="N28" s="26"/>
      <c r="O28" s="13"/>
      <c r="P28" s="13"/>
      <c r="S28" s="246"/>
      <c r="T28" s="16"/>
      <c r="U28" s="16"/>
      <c r="V28" s="16"/>
      <c r="W28" s="16"/>
      <c r="X28" s="16"/>
      <c r="Y28" s="16"/>
      <c r="Z28" s="26"/>
      <c r="AA28" s="13"/>
      <c r="AB28" s="13"/>
    </row>
    <row r="29" spans="1:28" ht="31.5" customHeight="1">
      <c r="A29" s="246"/>
      <c r="B29" s="3" t="s">
        <v>413</v>
      </c>
      <c r="C29" s="3" t="s">
        <v>441</v>
      </c>
      <c r="D29" s="3" t="s">
        <v>451</v>
      </c>
      <c r="E29" s="3" t="s">
        <v>429</v>
      </c>
      <c r="F29" s="3" t="s">
        <v>69</v>
      </c>
      <c r="G29" s="3" t="s">
        <v>417</v>
      </c>
      <c r="H29" s="17">
        <v>3.3</v>
      </c>
      <c r="I29" s="2">
        <f>DL_OH!S56*15.061</f>
        <v>15.345169811320755</v>
      </c>
      <c r="J29" s="2">
        <f>DL_OH!S66*15.2035</f>
        <v>15.345588785046731</v>
      </c>
      <c r="N29" s="5">
        <f>AVERAGE(I29:M29)</f>
        <v>15.345379298183744</v>
      </c>
      <c r="O29" s="3">
        <f>SQRT(VAR(I29:M29))</f>
        <v>2.9625916277669587E-4</v>
      </c>
      <c r="P29" s="3">
        <f>COUNT(I29:M29)</f>
        <v>2</v>
      </c>
      <c r="S29" s="246"/>
      <c r="T29" s="2">
        <f>DL_OH!S56*14.946</f>
        <v>15.228</v>
      </c>
      <c r="Z29" s="5">
        <f>AVERAGE(T29:Y29)</f>
        <v>15.228</v>
      </c>
      <c r="AA29" s="3" t="e">
        <f>SQRT(VAR(T29:Y29))</f>
        <v>#DIV/0!</v>
      </c>
      <c r="AB29" s="3">
        <f>COUNT(T29:Y29)</f>
        <v>1</v>
      </c>
    </row>
    <row r="30" spans="1:28" ht="25.5">
      <c r="A30" s="246"/>
      <c r="G30" s="11" t="s">
        <v>418</v>
      </c>
      <c r="H30" s="11">
        <v>0.12</v>
      </c>
      <c r="I30" s="20">
        <f>DL_OH!S56*0.374</f>
        <v>0.38105660377358491</v>
      </c>
      <c r="J30" s="20">
        <f>DL_OH!S66*0.3624</f>
        <v>0.36578691588785051</v>
      </c>
      <c r="K30" s="20"/>
      <c r="L30" s="20"/>
      <c r="M30" s="20"/>
      <c r="N30" s="27">
        <f>AVERAGE(I30:M30)</f>
        <v>0.37342175983071768</v>
      </c>
      <c r="O30" s="11">
        <f>SQRT(VAR(I30:M30))</f>
        <v>1.0797299850604875E-2</v>
      </c>
      <c r="P30" s="11">
        <f>COUNT(I30:M30)</f>
        <v>2</v>
      </c>
      <c r="S30" s="246"/>
      <c r="T30" s="20">
        <f>DL_OH!S56*0.37</f>
        <v>0.37698113207547168</v>
      </c>
      <c r="U30" s="20"/>
      <c r="V30" s="20"/>
      <c r="W30" s="20"/>
      <c r="X30" s="20"/>
      <c r="Y30" s="20"/>
      <c r="Z30" s="27">
        <f>AVERAGE(T30:Y30)</f>
        <v>0.37698113207547168</v>
      </c>
      <c r="AA30" s="11" t="e">
        <f>SQRT(VAR(T30:Y30))</f>
        <v>#DIV/0!</v>
      </c>
      <c r="AB30" s="11">
        <f>COUNT(T30:Y30)</f>
        <v>1</v>
      </c>
    </row>
    <row r="31" spans="1:28">
      <c r="A31" s="8"/>
      <c r="N31" s="5"/>
      <c r="S31" s="8"/>
      <c r="Z31" s="5"/>
    </row>
    <row r="32" spans="1:28" ht="31.5" customHeight="1">
      <c r="A32" s="8"/>
      <c r="B32" s="3" t="s">
        <v>413</v>
      </c>
      <c r="C32" s="3" t="s">
        <v>441</v>
      </c>
      <c r="D32" s="3" t="s">
        <v>451</v>
      </c>
      <c r="E32" s="3" t="s">
        <v>416</v>
      </c>
      <c r="F32" s="3" t="s">
        <v>69</v>
      </c>
      <c r="G32" s="3" t="s">
        <v>417</v>
      </c>
      <c r="H32" s="17">
        <v>3.3</v>
      </c>
      <c r="I32" s="2">
        <f>DL_OH!S40*15.026</f>
        <v>15.309509433962264</v>
      </c>
      <c r="N32" s="5">
        <f>AVERAGE(I32:M32)</f>
        <v>15.309509433962264</v>
      </c>
      <c r="O32" s="3" t="e">
        <f>SQRT(VAR(I32:M32))</f>
        <v>#DIV/0!</v>
      </c>
      <c r="P32" s="3">
        <f>COUNT(I32:M32)</f>
        <v>1</v>
      </c>
      <c r="S32" s="8"/>
      <c r="T32" s="2">
        <f>DL_OH!S40*14.901</f>
        <v>15.182150943396227</v>
      </c>
      <c r="Z32" s="5">
        <f>AVERAGE(T32:Y32)</f>
        <v>15.182150943396227</v>
      </c>
      <c r="AA32" s="3" t="e">
        <f>SQRT(VAR(T32:Y32))</f>
        <v>#DIV/0!</v>
      </c>
      <c r="AB32" s="3">
        <f>COUNT(T32:Y32)</f>
        <v>1</v>
      </c>
    </row>
    <row r="33" spans="1:28" ht="25.5">
      <c r="A33" s="8"/>
      <c r="G33" s="11" t="s">
        <v>418</v>
      </c>
      <c r="H33" s="11">
        <v>0.12</v>
      </c>
      <c r="I33" s="20">
        <f>DL_OH!S40*0.361</f>
        <v>0.36781132075471695</v>
      </c>
      <c r="J33" s="20"/>
      <c r="K33" s="20"/>
      <c r="L33" s="20"/>
      <c r="M33" s="20"/>
      <c r="N33" s="27">
        <f>AVERAGE(I33:M33)</f>
        <v>0.36781132075471695</v>
      </c>
      <c r="O33" s="11" t="e">
        <f>SQRT(VAR(I33:M33))</f>
        <v>#DIV/0!</v>
      </c>
      <c r="P33" s="11">
        <f>COUNT(I33:M33)</f>
        <v>1</v>
      </c>
      <c r="S33" s="8"/>
      <c r="T33" s="20">
        <f>DL_OH!S40*0.359</f>
        <v>0.36577358490566036</v>
      </c>
      <c r="U33" s="20"/>
      <c r="V33" s="20"/>
      <c r="W33" s="20"/>
      <c r="X33" s="20"/>
      <c r="Y33" s="20"/>
      <c r="Z33" s="27">
        <f>AVERAGE(T33:Y33)</f>
        <v>0.36577358490566036</v>
      </c>
      <c r="AA33" s="11" t="e">
        <f>SQRT(VAR(T33:Y33))</f>
        <v>#DIV/0!</v>
      </c>
      <c r="AB33" s="11">
        <f>COUNT(T33:Y33)</f>
        <v>1</v>
      </c>
    </row>
    <row r="34" spans="1:28">
      <c r="A34" s="8"/>
      <c r="N34" s="5"/>
      <c r="S34" s="8"/>
      <c r="Z34" s="5"/>
    </row>
    <row r="35" spans="1:28" ht="25.5">
      <c r="A35" s="8"/>
      <c r="B35" s="3" t="s">
        <v>413</v>
      </c>
      <c r="C35" s="3" t="s">
        <v>452</v>
      </c>
      <c r="D35" s="3" t="s">
        <v>453</v>
      </c>
      <c r="E35" s="3" t="s">
        <v>416</v>
      </c>
      <c r="F35" s="3" t="s">
        <v>70</v>
      </c>
      <c r="G35" s="3" t="s">
        <v>417</v>
      </c>
      <c r="H35" s="17">
        <v>3.3</v>
      </c>
      <c r="N35" s="5" t="e">
        <f>AVERAGE(I35:M35)</f>
        <v>#DIV/0!</v>
      </c>
      <c r="O35" s="3" t="e">
        <f>SQRT(VAR(I35:M35))</f>
        <v>#DIV/0!</v>
      </c>
      <c r="P35" s="3">
        <f>COUNT(I35:M35)</f>
        <v>0</v>
      </c>
      <c r="S35" s="8"/>
      <c r="Z35" s="5" t="e">
        <f>AVERAGE(T35:Y35)</f>
        <v>#DIV/0!</v>
      </c>
      <c r="AA35" s="3" t="e">
        <f>SQRT(VAR(T35:Y35))</f>
        <v>#DIV/0!</v>
      </c>
      <c r="AB35" s="3">
        <f>COUNT(T35:Y35)</f>
        <v>0</v>
      </c>
    </row>
    <row r="36" spans="1:28" ht="25.5">
      <c r="A36" s="8"/>
      <c r="G36" s="11" t="s">
        <v>418</v>
      </c>
      <c r="H36" s="11">
        <v>0.12</v>
      </c>
      <c r="I36" s="20"/>
      <c r="J36" s="20"/>
      <c r="K36" s="20"/>
      <c r="L36" s="20"/>
      <c r="M36" s="20"/>
      <c r="N36" s="27" t="e">
        <f>AVERAGE(I36:M36)</f>
        <v>#DIV/0!</v>
      </c>
      <c r="O36" s="11" t="e">
        <f>SQRT(VAR(I36:M36))</f>
        <v>#DIV/0!</v>
      </c>
      <c r="P36" s="11">
        <f>COUNT(I36:M36)</f>
        <v>0</v>
      </c>
      <c r="S36" s="8"/>
      <c r="T36" s="20"/>
      <c r="U36" s="20"/>
      <c r="V36" s="20"/>
      <c r="W36" s="20"/>
      <c r="X36" s="20"/>
      <c r="Y36" s="20"/>
      <c r="Z36" s="27" t="e">
        <f>AVERAGE(T36:Y36)</f>
        <v>#DIV/0!</v>
      </c>
      <c r="AA36" s="11" t="e">
        <f>SQRT(VAR(T36:Y36))</f>
        <v>#DIV/0!</v>
      </c>
      <c r="AB36" s="11">
        <f>COUNT(T36:Y36)</f>
        <v>0</v>
      </c>
    </row>
    <row r="37" spans="1:28">
      <c r="A37" s="8"/>
      <c r="N37" s="5"/>
      <c r="S37" s="8"/>
      <c r="Z37" s="5"/>
    </row>
    <row r="38" spans="1:28" ht="25.5">
      <c r="A38" s="8"/>
      <c r="B38" s="3" t="s">
        <v>413</v>
      </c>
      <c r="C38" s="3" t="s">
        <v>441</v>
      </c>
      <c r="D38" s="29" t="s">
        <v>451</v>
      </c>
      <c r="E38" s="3" t="s">
        <v>416</v>
      </c>
      <c r="F38" s="3" t="s">
        <v>70</v>
      </c>
      <c r="G38" s="3" t="s">
        <v>417</v>
      </c>
      <c r="H38" s="17">
        <v>3.3</v>
      </c>
      <c r="K38" s="2">
        <f>DL_OH!S37*15.68</f>
        <v>15.486419753086418</v>
      </c>
      <c r="N38" s="5">
        <f>AVERAGE(I38:M38)</f>
        <v>15.486419753086418</v>
      </c>
      <c r="O38" s="3" t="e">
        <f>SQRT(VAR(I38:M38))</f>
        <v>#DIV/0!</v>
      </c>
      <c r="P38" s="3">
        <f>COUNT(I38:M38)</f>
        <v>1</v>
      </c>
      <c r="S38" s="8"/>
      <c r="W38" s="2">
        <f>DL_OH!S37*15.36</f>
        <v>15.170370370370369</v>
      </c>
      <c r="Z38" s="5">
        <f>AVERAGE(T38:Y38)</f>
        <v>15.170370370370369</v>
      </c>
      <c r="AA38" s="3" t="e">
        <f>SQRT(VAR(T38:Y38))</f>
        <v>#DIV/0!</v>
      </c>
      <c r="AB38" s="3">
        <f>COUNT(T38:Y38)</f>
        <v>1</v>
      </c>
    </row>
    <row r="39" spans="1:28" ht="25.5">
      <c r="A39" s="8"/>
      <c r="G39" s="11" t="s">
        <v>418</v>
      </c>
      <c r="H39" s="11">
        <v>0.12</v>
      </c>
      <c r="I39" s="20"/>
      <c r="J39" s="20"/>
      <c r="K39" s="20">
        <f>DL_OH!S37*0.673</f>
        <v>0.66469135802469137</v>
      </c>
      <c r="L39" s="20"/>
      <c r="M39" s="20"/>
      <c r="N39" s="27">
        <f>AVERAGE(I39:M39)</f>
        <v>0.66469135802469137</v>
      </c>
      <c r="O39" s="11" t="e">
        <f>SQRT(VAR(I39:M39))</f>
        <v>#DIV/0!</v>
      </c>
      <c r="P39" s="11">
        <f>COUNT(I39:M39)</f>
        <v>1</v>
      </c>
      <c r="S39" s="8"/>
      <c r="T39" s="20"/>
      <c r="U39" s="20"/>
      <c r="V39" s="20"/>
      <c r="W39" s="20">
        <f>DL_OH!S37*0.5</f>
        <v>0.49382716049382713</v>
      </c>
      <c r="X39" s="20"/>
      <c r="Y39" s="20"/>
      <c r="Z39" s="27">
        <f>AVERAGE(T39:Y39)</f>
        <v>0.49382716049382713</v>
      </c>
      <c r="AA39" s="11" t="e">
        <f>SQRT(VAR(T39:Y39))</f>
        <v>#DIV/0!</v>
      </c>
      <c r="AB39" s="11">
        <f>COUNT(T39:Y39)</f>
        <v>1</v>
      </c>
    </row>
    <row r="40" spans="1:28">
      <c r="A40" s="8"/>
      <c r="N40" s="5"/>
      <c r="S40" s="8"/>
      <c r="Z40" s="5"/>
    </row>
    <row r="41" spans="1:28" ht="25.5">
      <c r="A41" s="8"/>
      <c r="B41" s="3" t="s">
        <v>413</v>
      </c>
      <c r="C41" s="3" t="s">
        <v>441</v>
      </c>
      <c r="D41" s="3" t="s">
        <v>451</v>
      </c>
      <c r="E41" s="29" t="s">
        <v>429</v>
      </c>
      <c r="F41" s="3" t="s">
        <v>70</v>
      </c>
      <c r="G41" s="3" t="s">
        <v>417</v>
      </c>
      <c r="H41" s="17">
        <v>3.3</v>
      </c>
      <c r="N41" s="5" t="e">
        <f>AVERAGE(I41:M41)</f>
        <v>#DIV/0!</v>
      </c>
      <c r="O41" s="3" t="e">
        <f>SQRT(VAR(I41:M41))</f>
        <v>#DIV/0!</v>
      </c>
      <c r="P41" s="3">
        <f>COUNT(I41:M41)</f>
        <v>0</v>
      </c>
      <c r="S41" s="8"/>
      <c r="Z41" s="5" t="e">
        <f>AVERAGE(T41:Y41)</f>
        <v>#DIV/0!</v>
      </c>
      <c r="AA41" s="3" t="e">
        <f>SQRT(VAR(T41:Y41))</f>
        <v>#DIV/0!</v>
      </c>
      <c r="AB41" s="3">
        <f>COUNT(T41:Y41)</f>
        <v>0</v>
      </c>
    </row>
    <row r="42" spans="1:28" ht="25.5">
      <c r="A42" s="8"/>
      <c r="G42" s="11" t="s">
        <v>418</v>
      </c>
      <c r="H42" s="11">
        <v>0.12</v>
      </c>
      <c r="I42" s="20"/>
      <c r="J42" s="20"/>
      <c r="K42" s="20"/>
      <c r="L42" s="20"/>
      <c r="M42" s="20"/>
      <c r="N42" s="27" t="e">
        <f>AVERAGE(I42:M42)</f>
        <v>#DIV/0!</v>
      </c>
      <c r="O42" s="11" t="e">
        <f>SQRT(VAR(I42:M42))</f>
        <v>#DIV/0!</v>
      </c>
      <c r="P42" s="11">
        <f>COUNT(I42:M42)</f>
        <v>0</v>
      </c>
      <c r="S42" s="8"/>
      <c r="T42" s="20"/>
      <c r="U42" s="20"/>
      <c r="V42" s="20"/>
      <c r="W42" s="20"/>
      <c r="X42" s="20"/>
      <c r="Y42" s="20"/>
      <c r="Z42" s="27" t="e">
        <f>AVERAGE(T42:Y42)</f>
        <v>#DIV/0!</v>
      </c>
      <c r="AA42" s="11" t="e">
        <f>SQRT(VAR(T42:Y42))</f>
        <v>#DIV/0!</v>
      </c>
      <c r="AB42" s="11">
        <f>COUNT(T42:Y42)</f>
        <v>0</v>
      </c>
    </row>
    <row r="43" spans="1:28">
      <c r="A43" s="8"/>
      <c r="N43" s="5"/>
      <c r="S43" s="8"/>
      <c r="Z43" s="5"/>
    </row>
    <row r="44" spans="1:28" ht="25.5">
      <c r="A44" s="8"/>
      <c r="B44" s="29" t="s">
        <v>419</v>
      </c>
      <c r="C44" s="3" t="s">
        <v>441</v>
      </c>
      <c r="D44" s="3" t="s">
        <v>451</v>
      </c>
      <c r="E44" s="3" t="s">
        <v>416</v>
      </c>
      <c r="F44" s="3" t="s">
        <v>70</v>
      </c>
      <c r="G44" s="3" t="s">
        <v>417</v>
      </c>
      <c r="H44" s="17">
        <v>3.3</v>
      </c>
      <c r="N44" s="5" t="e">
        <f t="shared" ref="N44:N50" si="0">AVERAGE(I44:M44)</f>
        <v>#DIV/0!</v>
      </c>
      <c r="O44" s="3" t="e">
        <f t="shared" ref="O44:O50" si="1">SQRT(VAR(I44:M44))</f>
        <v>#DIV/0!</v>
      </c>
      <c r="P44" s="3">
        <f t="shared" ref="P44:P50" si="2">COUNT(I44:M44)</f>
        <v>0</v>
      </c>
      <c r="S44" s="8"/>
      <c r="U44" s="2">
        <v>12.25</v>
      </c>
      <c r="Z44" s="5">
        <f>AVERAGE(T44:Y44)</f>
        <v>12.25</v>
      </c>
      <c r="AA44" s="3" t="e">
        <f>SQRT(VAR(T44:Y44))</f>
        <v>#DIV/0!</v>
      </c>
      <c r="AB44" s="3">
        <f>COUNT(T44:Y44)</f>
        <v>1</v>
      </c>
    </row>
    <row r="45" spans="1:28" ht="25.5">
      <c r="A45" s="8"/>
      <c r="G45" s="11" t="s">
        <v>418</v>
      </c>
      <c r="H45" s="11">
        <v>0.12</v>
      </c>
      <c r="I45" s="20"/>
      <c r="J45" s="20"/>
      <c r="K45" s="20"/>
      <c r="L45" s="20"/>
      <c r="M45" s="20"/>
      <c r="N45" s="27" t="e">
        <f t="shared" si="0"/>
        <v>#DIV/0!</v>
      </c>
      <c r="O45" s="11" t="e">
        <f t="shared" si="1"/>
        <v>#DIV/0!</v>
      </c>
      <c r="P45" s="11">
        <f t="shared" si="2"/>
        <v>0</v>
      </c>
      <c r="S45" s="8"/>
      <c r="T45" s="20"/>
      <c r="U45" s="20">
        <v>0.42499999999999999</v>
      </c>
      <c r="V45" s="20"/>
      <c r="W45" s="20"/>
      <c r="X45" s="20"/>
      <c r="Y45" s="20"/>
      <c r="Z45" s="27">
        <f>AVERAGE(T45:Y45)</f>
        <v>0.42499999999999999</v>
      </c>
      <c r="AA45" s="11" t="e">
        <f>SQRT(VAR(T45:Y45))</f>
        <v>#DIV/0!</v>
      </c>
      <c r="AB45" s="11">
        <f>COUNT(T45:Y45)</f>
        <v>1</v>
      </c>
    </row>
    <row r="46" spans="1:28">
      <c r="A46" s="8"/>
      <c r="N46" s="5" t="e">
        <f t="shared" si="0"/>
        <v>#DIV/0!</v>
      </c>
      <c r="O46" s="3" t="e">
        <f t="shared" si="1"/>
        <v>#DIV/0!</v>
      </c>
      <c r="P46" s="3">
        <f t="shared" si="2"/>
        <v>0</v>
      </c>
      <c r="S46" s="8"/>
      <c r="Z46" s="5"/>
    </row>
    <row r="47" spans="1:28" ht="25.5">
      <c r="A47" s="8"/>
      <c r="B47" s="29" t="s">
        <v>413</v>
      </c>
      <c r="C47" s="3" t="s">
        <v>454</v>
      </c>
      <c r="D47" s="3" t="s">
        <v>455</v>
      </c>
      <c r="E47" s="3" t="s">
        <v>416</v>
      </c>
      <c r="F47" s="189" t="s">
        <v>499</v>
      </c>
      <c r="G47" s="3" t="s">
        <v>417</v>
      </c>
      <c r="H47" s="17">
        <v>3.3</v>
      </c>
      <c r="N47" s="5" t="e">
        <f t="shared" si="0"/>
        <v>#DIV/0!</v>
      </c>
      <c r="O47" s="3" t="e">
        <f t="shared" si="1"/>
        <v>#DIV/0!</v>
      </c>
      <c r="P47" s="3">
        <f t="shared" si="2"/>
        <v>0</v>
      </c>
      <c r="S47" s="8"/>
      <c r="Z47" s="5" t="e">
        <f>AVERAGE(T47:Y47)</f>
        <v>#DIV/0!</v>
      </c>
      <c r="AA47" s="3" t="e">
        <f>SQRT(VAR(T47:Y47))</f>
        <v>#DIV/0!</v>
      </c>
      <c r="AB47" s="3">
        <f>COUNT(T47:Y47)</f>
        <v>0</v>
      </c>
    </row>
    <row r="48" spans="1:28" ht="25.5">
      <c r="A48" s="8"/>
      <c r="G48" s="11" t="s">
        <v>418</v>
      </c>
      <c r="H48" s="11">
        <v>0.12</v>
      </c>
      <c r="I48" s="20"/>
      <c r="J48" s="20"/>
      <c r="K48" s="20"/>
      <c r="L48" s="20"/>
      <c r="M48" s="20"/>
      <c r="N48" s="27" t="e">
        <f t="shared" si="0"/>
        <v>#DIV/0!</v>
      </c>
      <c r="O48" s="11" t="e">
        <f t="shared" si="1"/>
        <v>#DIV/0!</v>
      </c>
      <c r="P48" s="11">
        <f t="shared" si="2"/>
        <v>0</v>
      </c>
      <c r="S48" s="8"/>
      <c r="T48" s="20"/>
      <c r="U48" s="20"/>
      <c r="V48" s="20"/>
      <c r="W48" s="20"/>
      <c r="X48" s="20"/>
      <c r="Y48" s="20"/>
      <c r="Z48" s="27" t="e">
        <f>AVERAGE(T48:Y48)</f>
        <v>#DIV/0!</v>
      </c>
      <c r="AA48" s="11" t="e">
        <f>SQRT(VAR(T48:Y48))</f>
        <v>#DIV/0!</v>
      </c>
      <c r="AB48" s="11">
        <f>COUNT(T48:Y48)</f>
        <v>0</v>
      </c>
    </row>
    <row r="49" spans="1:28" ht="25.5">
      <c r="A49" s="8"/>
      <c r="B49" s="29" t="s">
        <v>419</v>
      </c>
      <c r="C49" s="3" t="s">
        <v>454</v>
      </c>
      <c r="D49" s="3" t="s">
        <v>455</v>
      </c>
      <c r="E49" s="3" t="s">
        <v>416</v>
      </c>
      <c r="F49" s="189" t="s">
        <v>500</v>
      </c>
      <c r="G49" s="3" t="s">
        <v>417</v>
      </c>
      <c r="H49" s="17">
        <v>3.3</v>
      </c>
      <c r="N49" s="5" t="e">
        <f t="shared" si="0"/>
        <v>#DIV/0!</v>
      </c>
      <c r="O49" s="3" t="e">
        <f t="shared" si="1"/>
        <v>#DIV/0!</v>
      </c>
      <c r="P49" s="3">
        <f t="shared" si="2"/>
        <v>0</v>
      </c>
      <c r="S49" s="8"/>
      <c r="Z49" s="5" t="e">
        <f>AVERAGE(T49:Y49)</f>
        <v>#DIV/0!</v>
      </c>
      <c r="AA49" s="3" t="e">
        <f>SQRT(VAR(T49:Y49))</f>
        <v>#DIV/0!</v>
      </c>
      <c r="AB49" s="3">
        <f>COUNT(T49:Y49)</f>
        <v>0</v>
      </c>
    </row>
    <row r="50" spans="1:28" ht="25.5">
      <c r="A50" s="8"/>
      <c r="G50" s="11" t="s">
        <v>418</v>
      </c>
      <c r="H50" s="11">
        <v>0.12</v>
      </c>
      <c r="I50" s="20"/>
      <c r="J50" s="20"/>
      <c r="K50" s="20"/>
      <c r="L50" s="20"/>
      <c r="M50" s="20"/>
      <c r="N50" s="27" t="e">
        <f t="shared" si="0"/>
        <v>#DIV/0!</v>
      </c>
      <c r="O50" s="11" t="e">
        <f t="shared" si="1"/>
        <v>#DIV/0!</v>
      </c>
      <c r="P50" s="11">
        <f t="shared" si="2"/>
        <v>0</v>
      </c>
      <c r="S50" s="8"/>
      <c r="T50" s="20"/>
      <c r="U50" s="20"/>
      <c r="V50" s="20"/>
      <c r="W50" s="20"/>
      <c r="X50" s="20"/>
      <c r="Y50" s="20"/>
      <c r="Z50" s="27" t="e">
        <f>AVERAGE(T50:Y50)</f>
        <v>#DIV/0!</v>
      </c>
      <c r="AA50" s="11" t="e">
        <f>SQRT(VAR(T50:Y50))</f>
        <v>#DIV/0!</v>
      </c>
      <c r="AB50" s="11">
        <f>COUNT(T50:Y50)</f>
        <v>0</v>
      </c>
    </row>
    <row r="51" spans="1:28">
      <c r="A51" s="8"/>
      <c r="S51" s="8"/>
    </row>
    <row r="52" spans="1:28" ht="25.5">
      <c r="A52" s="8"/>
      <c r="B52" s="3" t="s">
        <v>413</v>
      </c>
      <c r="C52" s="3" t="s">
        <v>456</v>
      </c>
      <c r="D52" s="29" t="s">
        <v>457</v>
      </c>
      <c r="E52" s="29" t="s">
        <v>429</v>
      </c>
      <c r="F52" s="3" t="s">
        <v>458</v>
      </c>
      <c r="G52" s="3" t="s">
        <v>417</v>
      </c>
      <c r="H52" s="40">
        <v>3.3</v>
      </c>
      <c r="L52" s="2">
        <f>DL_OH!S68*12.24</f>
        <v>12.009056603773585</v>
      </c>
      <c r="N52" s="5">
        <f>AVERAGE(I52:M52)</f>
        <v>12.009056603773585</v>
      </c>
      <c r="O52" s="3" t="e">
        <f>SQRT(VAR(I52:M52))</f>
        <v>#DIV/0!</v>
      </c>
      <c r="P52" s="3">
        <f>COUNT(I52:M52)</f>
        <v>1</v>
      </c>
      <c r="S52" s="8"/>
      <c r="Z52" s="5" t="e">
        <f>AVERAGE(T52:Y52)</f>
        <v>#DIV/0!</v>
      </c>
      <c r="AA52" s="3" t="e">
        <f>SQRT(VAR(T52:Y52))</f>
        <v>#DIV/0!</v>
      </c>
      <c r="AB52" s="3">
        <f>COUNT(T52:Y52)</f>
        <v>0</v>
      </c>
    </row>
    <row r="53" spans="1:28" ht="25.5">
      <c r="A53" s="8"/>
      <c r="G53" s="11" t="s">
        <v>418</v>
      </c>
      <c r="H53" s="11">
        <v>0.12</v>
      </c>
      <c r="I53" s="20"/>
      <c r="J53" s="20"/>
      <c r="K53" s="20"/>
      <c r="L53" s="20">
        <f>DL_OH!S68*0.3</f>
        <v>0.29433962264150942</v>
      </c>
      <c r="M53" s="20"/>
      <c r="N53" s="27">
        <f>AVERAGE(I53:M53)</f>
        <v>0.29433962264150942</v>
      </c>
      <c r="O53" s="11" t="e">
        <f>SQRT(VAR(I53:M53))</f>
        <v>#DIV/0!</v>
      </c>
      <c r="P53" s="11">
        <f>COUNT(I53:M53)</f>
        <v>1</v>
      </c>
      <c r="S53" s="8"/>
      <c r="T53" s="20"/>
      <c r="U53" s="20"/>
      <c r="V53" s="20"/>
      <c r="W53" s="20"/>
      <c r="X53" s="20"/>
      <c r="Y53" s="20"/>
      <c r="Z53" s="27" t="e">
        <f>AVERAGE(T53:Y53)</f>
        <v>#DIV/0!</v>
      </c>
      <c r="AA53" s="11" t="e">
        <f>SQRT(VAR(T53:Y53))</f>
        <v>#DIV/0!</v>
      </c>
      <c r="AB53" s="11">
        <f>COUNT(T53:Y53)</f>
        <v>0</v>
      </c>
    </row>
    <row r="54" spans="1:28">
      <c r="A54" s="8"/>
      <c r="N54" s="5"/>
      <c r="S54" s="8"/>
      <c r="Z54" s="5"/>
    </row>
    <row r="55" spans="1:28" ht="25.5">
      <c r="A55" s="8"/>
      <c r="B55" s="3" t="s">
        <v>413</v>
      </c>
      <c r="C55" s="3" t="s">
        <v>445</v>
      </c>
      <c r="D55" s="29" t="s">
        <v>459</v>
      </c>
      <c r="E55" s="29" t="s">
        <v>429</v>
      </c>
      <c r="F55" s="3" t="s">
        <v>69</v>
      </c>
      <c r="G55" s="3" t="s">
        <v>417</v>
      </c>
      <c r="H55" s="40">
        <v>3.3</v>
      </c>
      <c r="N55" s="5" t="e">
        <f>AVERAGE(I55:M55)</f>
        <v>#DIV/0!</v>
      </c>
      <c r="O55" s="3" t="e">
        <f>SQRT(VAR(I55:M55))</f>
        <v>#DIV/0!</v>
      </c>
      <c r="P55" s="3">
        <f>COUNT(I55:M55)</f>
        <v>0</v>
      </c>
      <c r="S55" s="8"/>
      <c r="Y55" s="2">
        <f>DL_OH!S63*12.91</f>
        <v>12.666415094339621</v>
      </c>
      <c r="Z55" s="5">
        <f>AVERAGE(T55:Y55)</f>
        <v>12.666415094339621</v>
      </c>
      <c r="AA55" s="3" t="e">
        <f>SQRT(VAR(T55:Y55))</f>
        <v>#DIV/0!</v>
      </c>
      <c r="AB55" s="3">
        <f>COUNT(T55:Y55)</f>
        <v>1</v>
      </c>
    </row>
    <row r="56" spans="1:28" ht="25.5">
      <c r="A56" s="8"/>
      <c r="G56" s="11" t="s">
        <v>418</v>
      </c>
      <c r="H56" s="11">
        <v>0.12</v>
      </c>
      <c r="I56" s="20"/>
      <c r="J56" s="20"/>
      <c r="K56" s="20"/>
      <c r="L56" s="20"/>
      <c r="M56" s="20"/>
      <c r="N56" s="27" t="e">
        <f>AVERAGE(I56:M56)</f>
        <v>#DIV/0!</v>
      </c>
      <c r="O56" s="11" t="e">
        <f>SQRT(VAR(I56:M56))</f>
        <v>#DIV/0!</v>
      </c>
      <c r="P56" s="11">
        <f>COUNT(I56:M56)</f>
        <v>0</v>
      </c>
      <c r="S56" s="8"/>
      <c r="T56" s="20"/>
      <c r="U56" s="20"/>
      <c r="V56" s="20"/>
      <c r="W56" s="20"/>
      <c r="X56" s="20"/>
      <c r="Y56" s="20">
        <f>DL_OH!S63*0.579</f>
        <v>0.56807547169811312</v>
      </c>
      <c r="Z56" s="27">
        <f>AVERAGE(T56:Y56)</f>
        <v>0.56807547169811312</v>
      </c>
      <c r="AA56" s="11" t="e">
        <f>SQRT(VAR(T56:Y56))</f>
        <v>#DIV/0!</v>
      </c>
      <c r="AB56" s="11">
        <f>COUNT(T56:Y56)</f>
        <v>1</v>
      </c>
    </row>
    <row r="57" spans="1:28">
      <c r="A57" s="8"/>
      <c r="N57" s="5"/>
      <c r="S57" s="8"/>
      <c r="Z57" s="5"/>
    </row>
    <row r="58" spans="1:28" ht="25.5">
      <c r="A58" s="8"/>
      <c r="B58" s="3" t="s">
        <v>413</v>
      </c>
      <c r="C58" s="3" t="s">
        <v>452</v>
      </c>
      <c r="D58" s="29" t="s">
        <v>460</v>
      </c>
      <c r="E58" s="3" t="s">
        <v>416</v>
      </c>
      <c r="F58" s="3" t="s">
        <v>70</v>
      </c>
      <c r="G58" s="3" t="s">
        <v>417</v>
      </c>
      <c r="H58" s="17">
        <v>3.3</v>
      </c>
      <c r="N58" s="5" t="e">
        <f>AVERAGE(I58:M58)</f>
        <v>#DIV/0!</v>
      </c>
      <c r="O58" s="3" t="e">
        <f>SQRT(VAR(I58:M58))</f>
        <v>#DIV/0!</v>
      </c>
      <c r="P58" s="3">
        <f>COUNT(I58:M58)</f>
        <v>0</v>
      </c>
      <c r="S58" s="8"/>
      <c r="Z58" s="5" t="e">
        <f>AVERAGE(T58:Y58)</f>
        <v>#DIV/0!</v>
      </c>
      <c r="AA58" s="3" t="e">
        <f>SQRT(VAR(T58:Y58))</f>
        <v>#DIV/0!</v>
      </c>
      <c r="AB58" s="3">
        <f>COUNT(T58:Y58)</f>
        <v>0</v>
      </c>
    </row>
    <row r="59" spans="1:28" ht="25.5">
      <c r="A59" s="8"/>
      <c r="G59" s="11" t="s">
        <v>418</v>
      </c>
      <c r="H59" s="11">
        <v>0.12</v>
      </c>
      <c r="I59" s="20"/>
      <c r="J59" s="20"/>
      <c r="K59" s="20"/>
      <c r="L59" s="20"/>
      <c r="M59" s="20"/>
      <c r="N59" s="27" t="e">
        <f>AVERAGE(I59:M59)</f>
        <v>#DIV/0!</v>
      </c>
      <c r="O59" s="11" t="e">
        <f>SQRT(VAR(I59:M59))</f>
        <v>#DIV/0!</v>
      </c>
      <c r="P59" s="11">
        <f>COUNT(I59:M59)</f>
        <v>0</v>
      </c>
      <c r="S59" s="8"/>
      <c r="T59" s="20"/>
      <c r="U59" s="20"/>
      <c r="V59" s="20"/>
      <c r="W59" s="20"/>
      <c r="X59" s="20"/>
      <c r="Y59" s="20"/>
      <c r="Z59" s="27" t="e">
        <f>AVERAGE(T59:Y59)</f>
        <v>#DIV/0!</v>
      </c>
      <c r="AA59" s="11" t="e">
        <f>SQRT(VAR(T59:Y59))</f>
        <v>#DIV/0!</v>
      </c>
      <c r="AB59" s="11">
        <f>COUNT(T59:Y59)</f>
        <v>0</v>
      </c>
    </row>
    <row r="60" spans="1:28">
      <c r="A60" s="8"/>
      <c r="N60" s="5"/>
      <c r="S60" s="8"/>
      <c r="Z60" s="5"/>
    </row>
    <row r="61" spans="1:28" ht="25.5">
      <c r="A61" s="8"/>
      <c r="B61" s="3" t="s">
        <v>413</v>
      </c>
      <c r="C61" s="3" t="s">
        <v>456</v>
      </c>
      <c r="D61" s="29" t="s">
        <v>457</v>
      </c>
      <c r="E61" s="29" t="s">
        <v>429</v>
      </c>
      <c r="F61" s="29" t="s">
        <v>70</v>
      </c>
      <c r="G61" s="3" t="s">
        <v>417</v>
      </c>
      <c r="H61" s="40">
        <v>3.3</v>
      </c>
      <c r="M61" s="2">
        <f>DL_OH!S51*14.87</f>
        <v>14.445142857142857</v>
      </c>
      <c r="N61" s="5">
        <f>AVERAGE(I61:M61)</f>
        <v>14.445142857142857</v>
      </c>
      <c r="O61" s="3" t="e">
        <f>SQRT(VAR(I61:M61))</f>
        <v>#DIV/0!</v>
      </c>
      <c r="P61" s="3">
        <f>COUNT(I61:M61)</f>
        <v>1</v>
      </c>
      <c r="S61" s="8"/>
      <c r="U61" s="2">
        <v>16.09</v>
      </c>
      <c r="X61" s="2">
        <f>DL_OH!S51*14.8</f>
        <v>14.377142857142857</v>
      </c>
      <c r="Z61" s="5">
        <f>AVERAGE(T61:Y61)</f>
        <v>15.233571428571429</v>
      </c>
      <c r="AA61" s="3">
        <f>SQRT(VAR(T61:Y61))</f>
        <v>1.2111729009181005</v>
      </c>
      <c r="AB61" s="3">
        <f>COUNT(T61:Y61)</f>
        <v>2</v>
      </c>
    </row>
    <row r="62" spans="1:28" ht="25.5">
      <c r="A62" s="8"/>
      <c r="G62" s="11" t="s">
        <v>418</v>
      </c>
      <c r="H62" s="11">
        <v>0.12</v>
      </c>
      <c r="I62" s="20"/>
      <c r="J62" s="20"/>
      <c r="K62" s="20"/>
      <c r="L62" s="20"/>
      <c r="M62" s="20">
        <f>DL_OH!S51*0.634</f>
        <v>0.61588571428571426</v>
      </c>
      <c r="N62" s="27">
        <f>AVERAGE(I62:M62)</f>
        <v>0.61588571428571426</v>
      </c>
      <c r="O62" s="11" t="e">
        <f>SQRT(VAR(I62:M62))</f>
        <v>#DIV/0!</v>
      </c>
      <c r="P62" s="11">
        <f>COUNT(I62:M62)</f>
        <v>1</v>
      </c>
      <c r="S62" s="246"/>
      <c r="T62" s="20"/>
      <c r="U62" s="20">
        <v>0.53100000000000003</v>
      </c>
      <c r="V62" s="20"/>
      <c r="W62" s="20"/>
      <c r="X62" s="20">
        <f>DL_OH!S51*0.573</f>
        <v>0.55662857142857136</v>
      </c>
      <c r="Y62" s="20"/>
      <c r="Z62" s="27">
        <f>AVERAGE(T62:Y62)</f>
        <v>0.54381428571428569</v>
      </c>
      <c r="AA62" s="11">
        <f>SQRT(VAR(T62:Y62))</f>
        <v>1.8122136649266592E-2</v>
      </c>
      <c r="AB62" s="11">
        <f>COUNT(T62:Y62)</f>
        <v>2</v>
      </c>
    </row>
    <row r="63" spans="1:28">
      <c r="A63" s="8"/>
      <c r="N63" s="5"/>
      <c r="S63" s="246"/>
      <c r="Z63" s="5"/>
    </row>
    <row r="64" spans="1:28" ht="25.5">
      <c r="A64" s="8"/>
      <c r="B64" s="3" t="s">
        <v>413</v>
      </c>
      <c r="C64" s="3" t="s">
        <v>456</v>
      </c>
      <c r="D64" s="29" t="s">
        <v>457</v>
      </c>
      <c r="E64" s="29" t="s">
        <v>429</v>
      </c>
      <c r="F64" s="29" t="s">
        <v>69</v>
      </c>
      <c r="G64" s="3" t="s">
        <v>417</v>
      </c>
      <c r="H64" s="40">
        <v>3.3</v>
      </c>
      <c r="N64" s="5" t="e">
        <f>AVERAGE(I64:M64)</f>
        <v>#DIV/0!</v>
      </c>
      <c r="O64" s="3" t="e">
        <f>SQRT(VAR(I64:M64))</f>
        <v>#DIV/0!</v>
      </c>
      <c r="P64" s="3">
        <f>COUNT(I64:M64)</f>
        <v>0</v>
      </c>
      <c r="S64" s="246"/>
      <c r="X64" s="2">
        <f>DL_OH!S61*14.8</f>
        <v>14.520754716981136</v>
      </c>
      <c r="Z64" s="5">
        <f>AVERAGE(T64:Y64)</f>
        <v>14.520754716981136</v>
      </c>
      <c r="AA64" s="3" t="e">
        <f>SQRT(VAR(T64:Y64))</f>
        <v>#DIV/0!</v>
      </c>
      <c r="AB64" s="3">
        <f>COUNT(T64:Y64)</f>
        <v>1</v>
      </c>
    </row>
    <row r="65" spans="1:28" ht="25.5">
      <c r="A65" s="8"/>
      <c r="G65" s="11" t="s">
        <v>418</v>
      </c>
      <c r="H65" s="11">
        <v>0.12</v>
      </c>
      <c r="I65" s="20"/>
      <c r="J65" s="20"/>
      <c r="K65" s="20"/>
      <c r="L65" s="20"/>
      <c r="M65" s="20"/>
      <c r="N65" s="27" t="e">
        <f>AVERAGE(I65:M65)</f>
        <v>#DIV/0!</v>
      </c>
      <c r="O65" s="11" t="e">
        <f>SQRT(VAR(I65:M65))</f>
        <v>#DIV/0!</v>
      </c>
      <c r="P65" s="11">
        <f>COUNT(I65:M65)</f>
        <v>0</v>
      </c>
      <c r="S65" s="246"/>
      <c r="T65" s="20"/>
      <c r="U65" s="20"/>
      <c r="V65" s="20"/>
      <c r="W65" s="20"/>
      <c r="X65" s="20">
        <f>DL_OH!S61*0.5</f>
        <v>0.49056603773584917</v>
      </c>
      <c r="Y65" s="20"/>
      <c r="Z65" s="27">
        <f>AVERAGE(T65:Y65)</f>
        <v>0.49056603773584917</v>
      </c>
      <c r="AA65" s="11" t="e">
        <f>SQRT(VAR(T65:Y65))</f>
        <v>#DIV/0!</v>
      </c>
      <c r="AB65" s="11">
        <f>COUNT(T65:Y65)</f>
        <v>1</v>
      </c>
    </row>
    <row r="66" spans="1:28">
      <c r="A66" s="8"/>
      <c r="N66" s="5"/>
      <c r="S66" s="246"/>
      <c r="Z66" s="5"/>
      <c r="AB66" s="3">
        <f>COUNT(T66:Y66)</f>
        <v>0</v>
      </c>
    </row>
    <row r="67" spans="1:28" ht="25.5">
      <c r="A67" s="8"/>
      <c r="B67" s="36" t="s">
        <v>413</v>
      </c>
      <c r="C67" s="3" t="s">
        <v>461</v>
      </c>
      <c r="D67" s="36" t="s">
        <v>462</v>
      </c>
      <c r="E67" s="36" t="s">
        <v>429</v>
      </c>
      <c r="F67" s="36" t="s">
        <v>72</v>
      </c>
      <c r="G67" s="3" t="s">
        <v>417</v>
      </c>
      <c r="H67" s="40">
        <v>3.3</v>
      </c>
      <c r="N67" s="5" t="e">
        <f>AVERAGE(I67:M67)</f>
        <v>#DIV/0!</v>
      </c>
      <c r="O67" s="3" t="e">
        <f>SQRT(VAR(I67:M67))</f>
        <v>#DIV/0!</v>
      </c>
      <c r="P67" s="3">
        <f>COUNT(I67:M67)</f>
        <v>0</v>
      </c>
      <c r="S67" s="246"/>
      <c r="Z67" s="5" t="e">
        <f>AVERAGE(T67:Y67)</f>
        <v>#DIV/0!</v>
      </c>
      <c r="AA67" s="3" t="e">
        <f>SQRT(VAR(T67:Y67))</f>
        <v>#DIV/0!</v>
      </c>
      <c r="AB67" s="3">
        <f>COUNT(T67:Y67)</f>
        <v>0</v>
      </c>
    </row>
    <row r="68" spans="1:28" ht="25.5">
      <c r="A68" s="8"/>
      <c r="G68" s="11" t="s">
        <v>418</v>
      </c>
      <c r="H68" s="11">
        <v>0.12</v>
      </c>
      <c r="I68" s="20"/>
      <c r="J68" s="208"/>
      <c r="K68" s="20"/>
      <c r="L68" s="20"/>
      <c r="M68" s="20"/>
      <c r="N68" s="27" t="e">
        <f>AVERAGE(I68:M68)</f>
        <v>#DIV/0!</v>
      </c>
      <c r="O68" s="11" t="e">
        <f>SQRT(VAR(I68:M68))</f>
        <v>#DIV/0!</v>
      </c>
      <c r="P68" s="11">
        <f>COUNT(I68:M68)</f>
        <v>0</v>
      </c>
      <c r="S68" s="8"/>
      <c r="T68" s="20"/>
      <c r="U68" s="20"/>
      <c r="V68" s="20"/>
      <c r="W68" s="20"/>
      <c r="X68" s="20"/>
      <c r="Y68" s="20"/>
      <c r="Z68" s="27" t="e">
        <f>AVERAGE(T68:Y68)</f>
        <v>#DIV/0!</v>
      </c>
      <c r="AA68" s="11" t="e">
        <f>SQRT(VAR(T68:Y68))</f>
        <v>#DIV/0!</v>
      </c>
      <c r="AB68" s="11">
        <f>COUNT(T68:Y68)</f>
        <v>0</v>
      </c>
    </row>
    <row r="69" spans="1:28">
      <c r="A69" s="8"/>
      <c r="J69" s="209"/>
      <c r="N69" s="5"/>
      <c r="Z69" s="5"/>
    </row>
    <row r="70" spans="1:28" ht="12.75" customHeight="1">
      <c r="A70" s="244" t="s">
        <v>432</v>
      </c>
      <c r="B70" s="9" t="s">
        <v>49</v>
      </c>
      <c r="C70" s="9"/>
      <c r="D70" s="9" t="s">
        <v>49</v>
      </c>
      <c r="E70" s="9"/>
      <c r="F70" s="9"/>
      <c r="G70" s="13"/>
      <c r="H70" s="13"/>
      <c r="I70" s="16"/>
      <c r="J70" s="210"/>
      <c r="K70" s="16"/>
      <c r="L70" s="16"/>
      <c r="M70" s="16"/>
      <c r="N70" s="26"/>
      <c r="O70" s="13"/>
      <c r="P70" s="13"/>
      <c r="S70" s="244" t="s">
        <v>432</v>
      </c>
      <c r="T70" s="16"/>
      <c r="U70" s="16"/>
      <c r="V70" s="16"/>
      <c r="W70" s="16"/>
      <c r="X70" s="16"/>
      <c r="Y70" s="16"/>
      <c r="Z70" s="26"/>
      <c r="AA70" s="13"/>
      <c r="AB70" s="13"/>
    </row>
    <row r="71" spans="1:28" ht="25.5">
      <c r="A71" s="244"/>
      <c r="B71" s="3" t="s">
        <v>413</v>
      </c>
      <c r="C71" s="3" t="s">
        <v>441</v>
      </c>
      <c r="D71" s="3" t="s">
        <v>463</v>
      </c>
      <c r="E71" s="3" t="s">
        <v>416</v>
      </c>
      <c r="G71" s="3" t="s">
        <v>417</v>
      </c>
      <c r="H71" s="17">
        <v>1.6</v>
      </c>
      <c r="I71" s="2">
        <f>UL_OH!R9*4.253</f>
        <v>4.3643305600649347</v>
      </c>
      <c r="J71" s="209">
        <f>5.8886*0.8286642</f>
        <v>4.87967200812</v>
      </c>
      <c r="N71" s="5">
        <f>AVERAGE(I71:M71)</f>
        <v>4.6220012840924678</v>
      </c>
      <c r="O71" s="3">
        <f>SQRT(VAR(I71:M71))</f>
        <v>0.36440143254623164</v>
      </c>
      <c r="P71" s="3">
        <f>COUNT(I71:M71)</f>
        <v>2</v>
      </c>
      <c r="S71" s="244"/>
      <c r="T71" s="2">
        <f>UL_OH!R9*4.161</f>
        <v>4.2699222808441553</v>
      </c>
      <c r="Z71" s="5">
        <f>AVERAGE(T71:Y71)</f>
        <v>4.2699222808441553</v>
      </c>
      <c r="AA71" s="3" t="e">
        <f>SQRT(VAR(T71:Y71))</f>
        <v>#DIV/0!</v>
      </c>
      <c r="AB71" s="3">
        <f>COUNT(T71:Y71)</f>
        <v>1</v>
      </c>
    </row>
    <row r="72" spans="1:28" ht="25.5">
      <c r="A72" s="244"/>
      <c r="G72" s="11" t="s">
        <v>418</v>
      </c>
      <c r="H72" s="11">
        <v>4.4999999999999998E-2</v>
      </c>
      <c r="I72" s="20">
        <f>UL_OH!R9*0.163</f>
        <v>0.16726684253246754</v>
      </c>
      <c r="J72" s="208">
        <f>0.3316*0.8286642</f>
        <v>0.27478504871999998</v>
      </c>
      <c r="K72" s="20"/>
      <c r="L72" s="20"/>
      <c r="M72" s="20"/>
      <c r="N72" s="27">
        <f>AVERAGE(I72:M72)</f>
        <v>0.22102594562623376</v>
      </c>
      <c r="O72" s="11">
        <f>SQRT(VAR(I72:M72))</f>
        <v>7.6026852696217631E-2</v>
      </c>
      <c r="P72" s="11">
        <f>COUNT(I72:M72)</f>
        <v>2</v>
      </c>
      <c r="S72" s="244"/>
      <c r="T72" s="21">
        <f>UL_OH!R9*0.142</f>
        <v>0.1457171266233766</v>
      </c>
      <c r="U72" s="20"/>
      <c r="V72" s="20"/>
      <c r="W72" s="20"/>
      <c r="X72" s="20"/>
      <c r="Y72" s="20"/>
      <c r="Z72" s="27">
        <f>AVERAGE(T72:Y72)</f>
        <v>0.1457171266233766</v>
      </c>
      <c r="AA72" s="11" t="e">
        <f>SQRT(VAR(T72:Y72))</f>
        <v>#DIV/0!</v>
      </c>
      <c r="AB72" s="11">
        <f>COUNT(T72:Y72)</f>
        <v>1</v>
      </c>
    </row>
    <row r="73" spans="1:28">
      <c r="A73" s="244"/>
      <c r="J73" s="209"/>
      <c r="N73" s="5"/>
      <c r="S73" s="244"/>
      <c r="T73" s="18"/>
      <c r="Z73" s="5"/>
    </row>
    <row r="74" spans="1:28" ht="25.5">
      <c r="A74" s="244"/>
      <c r="B74" s="3" t="s">
        <v>413</v>
      </c>
      <c r="C74" s="3" t="s">
        <v>441</v>
      </c>
      <c r="D74" s="3" t="s">
        <v>464</v>
      </c>
      <c r="E74" s="3" t="s">
        <v>416</v>
      </c>
      <c r="G74" s="3" t="s">
        <v>417</v>
      </c>
      <c r="H74" s="17">
        <v>1.6</v>
      </c>
      <c r="I74" s="2">
        <f>UL_OH!R9*7.498</f>
        <v>7.694274756493507</v>
      </c>
      <c r="J74" s="209"/>
      <c r="N74" s="5">
        <f>AVERAGE(I74:M74)</f>
        <v>7.694274756493507</v>
      </c>
      <c r="O74" s="3" t="e">
        <f>SQRT(VAR(I74:M74))</f>
        <v>#DIV/0!</v>
      </c>
      <c r="P74" s="3">
        <f>COUNT(I74:M74)</f>
        <v>1</v>
      </c>
      <c r="S74" s="244"/>
      <c r="T74" s="2">
        <f>UL_OH!R9*7.364</f>
        <v>7.5567670454545448</v>
      </c>
      <c r="Z74" s="5">
        <f>AVERAGE(T74:Y74)</f>
        <v>7.5567670454545448</v>
      </c>
      <c r="AA74" s="3" t="e">
        <f>SQRT(VAR(T74:Y74))</f>
        <v>#DIV/0!</v>
      </c>
      <c r="AB74" s="3">
        <f>COUNT(T74:Y74)</f>
        <v>1</v>
      </c>
    </row>
    <row r="75" spans="1:28" ht="25.5">
      <c r="A75" s="244"/>
      <c r="G75" s="11" t="s">
        <v>418</v>
      </c>
      <c r="H75" s="11">
        <v>4.4999999999999998E-2</v>
      </c>
      <c r="I75" s="20">
        <f>UL_OH!R9*0.253</f>
        <v>0.25962276785714283</v>
      </c>
      <c r="J75" s="20"/>
      <c r="K75" s="20"/>
      <c r="L75" s="20"/>
      <c r="M75" s="20"/>
      <c r="N75" s="27">
        <f>AVERAGE(I75:M75)</f>
        <v>0.25962276785714283</v>
      </c>
      <c r="O75" s="11" t="e">
        <f>SQRT(VAR(I75:M75))</f>
        <v>#DIV/0!</v>
      </c>
      <c r="P75" s="11">
        <f>COUNT(I75:M75)</f>
        <v>1</v>
      </c>
      <c r="S75" s="244"/>
      <c r="T75" s="21">
        <f>UL_OH!R9*0.209</f>
        <v>0.21447098214285712</v>
      </c>
      <c r="U75" s="20"/>
      <c r="V75" s="20"/>
      <c r="W75" s="20"/>
      <c r="X75" s="20"/>
      <c r="Y75" s="20"/>
      <c r="Z75" s="190">
        <f>AVERAGE(T75:Y75)</f>
        <v>0.21447098214285712</v>
      </c>
      <c r="AA75" s="191" t="e">
        <f>SQRT(VAR(T75:Y75))</f>
        <v>#DIV/0!</v>
      </c>
      <c r="AB75" s="191">
        <f>COUNT(T75:Y75)</f>
        <v>1</v>
      </c>
    </row>
    <row r="76" spans="1:28">
      <c r="A76" s="244"/>
      <c r="N76" s="5"/>
      <c r="S76" s="244"/>
      <c r="T76" s="18"/>
      <c r="Z76" s="5"/>
    </row>
    <row r="77" spans="1:28" ht="25.5">
      <c r="A77" s="244"/>
      <c r="B77" s="3" t="s">
        <v>413</v>
      </c>
      <c r="C77" s="3" t="s">
        <v>452</v>
      </c>
      <c r="D77" s="3" t="s">
        <v>465</v>
      </c>
      <c r="E77" s="3" t="s">
        <v>416</v>
      </c>
      <c r="G77" s="3" t="s">
        <v>417</v>
      </c>
      <c r="H77" s="17">
        <v>1.6</v>
      </c>
      <c r="N77" s="5" t="e">
        <f>AVERAGE(I77:M77)</f>
        <v>#DIV/0!</v>
      </c>
      <c r="O77" s="3" t="e">
        <f>SQRT(VAR(I77:M77))</f>
        <v>#DIV/0!</v>
      </c>
      <c r="P77" s="3">
        <f>COUNT(I77:M77)</f>
        <v>0</v>
      </c>
      <c r="S77" s="244"/>
      <c r="T77" s="18"/>
      <c r="Z77" s="5" t="e">
        <f>AVERAGE(T77:Y77)</f>
        <v>#DIV/0!</v>
      </c>
      <c r="AA77" s="3" t="e">
        <f>SQRT(VAR(T77:Y77))</f>
        <v>#DIV/0!</v>
      </c>
      <c r="AB77" s="3">
        <f>COUNT(T77:Y77)</f>
        <v>0</v>
      </c>
    </row>
    <row r="78" spans="1:28" ht="25.5">
      <c r="A78" s="244"/>
      <c r="G78" s="11" t="s">
        <v>418</v>
      </c>
      <c r="H78" s="11">
        <v>4.4999999999999998E-2</v>
      </c>
      <c r="I78" s="20"/>
      <c r="J78" s="20"/>
      <c r="K78" s="20"/>
      <c r="L78" s="20"/>
      <c r="M78" s="20"/>
      <c r="N78" s="27" t="e">
        <f>AVERAGE(I78:M78)</f>
        <v>#DIV/0!</v>
      </c>
      <c r="O78" s="11" t="e">
        <f>SQRT(VAR(I78:M78))</f>
        <v>#DIV/0!</v>
      </c>
      <c r="P78" s="11">
        <f>COUNT(I78:M78)</f>
        <v>0</v>
      </c>
      <c r="S78" s="244"/>
      <c r="T78" s="21"/>
      <c r="U78" s="20"/>
      <c r="V78" s="20"/>
      <c r="W78" s="20"/>
      <c r="X78" s="20"/>
      <c r="Y78" s="20"/>
      <c r="Z78" s="27" t="e">
        <f>AVERAGE(T78:Y78)</f>
        <v>#DIV/0!</v>
      </c>
      <c r="AA78" s="11" t="e">
        <f>SQRT(VAR(T78:Y78))</f>
        <v>#DIV/0!</v>
      </c>
      <c r="AB78" s="11">
        <f>COUNT(T78:Y78)</f>
        <v>0</v>
      </c>
    </row>
    <row r="79" spans="1:28">
      <c r="A79" s="244"/>
      <c r="N79" s="5"/>
      <c r="S79" s="244"/>
      <c r="Z79" s="5"/>
    </row>
    <row r="80" spans="1:28" ht="25.5">
      <c r="A80" s="244"/>
      <c r="B80" s="3" t="s">
        <v>413</v>
      </c>
      <c r="C80" s="3" t="s">
        <v>441</v>
      </c>
      <c r="D80" s="3" t="s">
        <v>466</v>
      </c>
      <c r="E80" s="3" t="s">
        <v>416</v>
      </c>
      <c r="G80" s="3" t="s">
        <v>417</v>
      </c>
      <c r="H80" s="17">
        <v>1.6</v>
      </c>
      <c r="N80" s="5" t="e">
        <f>AVERAGE(I80:M80)</f>
        <v>#DIV/0!</v>
      </c>
      <c r="O80" s="3" t="e">
        <f>SQRT(VAR(I80:M80))</f>
        <v>#DIV/0!</v>
      </c>
      <c r="P80" s="3">
        <f>COUNT(I80:M80)</f>
        <v>0</v>
      </c>
      <c r="S80" s="244"/>
      <c r="Z80" s="5" t="e">
        <f>AVERAGE(T80:Y80)</f>
        <v>#DIV/0!</v>
      </c>
      <c r="AA80" s="3" t="e">
        <f>SQRT(VAR(T80:Y80))</f>
        <v>#DIV/0!</v>
      </c>
      <c r="AB80" s="3">
        <f>COUNT(T80:Y80)</f>
        <v>0</v>
      </c>
    </row>
    <row r="81" spans="1:28" ht="25.5">
      <c r="A81" s="244"/>
      <c r="G81" s="11" t="s">
        <v>418</v>
      </c>
      <c r="H81" s="11">
        <v>4.4999999999999998E-2</v>
      </c>
      <c r="I81" s="20"/>
      <c r="J81" s="20"/>
      <c r="K81" s="20"/>
      <c r="L81" s="20"/>
      <c r="M81" s="20"/>
      <c r="N81" s="27" t="e">
        <f>AVERAGE(I81:M81)</f>
        <v>#DIV/0!</v>
      </c>
      <c r="O81" s="11" t="e">
        <f>SQRT(VAR(I81:M81))</f>
        <v>#DIV/0!</v>
      </c>
      <c r="P81" s="11">
        <f>COUNT(I81:M81)</f>
        <v>0</v>
      </c>
      <c r="S81" s="244"/>
      <c r="T81" s="21"/>
      <c r="U81" s="20"/>
      <c r="V81" s="20"/>
      <c r="W81" s="20"/>
      <c r="X81" s="20"/>
      <c r="Y81" s="20"/>
      <c r="Z81" s="27" t="e">
        <f>AVERAGE(T81:Y81)</f>
        <v>#DIV/0!</v>
      </c>
      <c r="AA81" s="11" t="e">
        <f>SQRT(VAR(T81:Y81))</f>
        <v>#DIV/0!</v>
      </c>
      <c r="AB81" s="11">
        <f>COUNT(T81:Y81)</f>
        <v>0</v>
      </c>
    </row>
    <row r="82" spans="1:28">
      <c r="A82" s="244"/>
      <c r="N82" s="5"/>
      <c r="S82" s="244"/>
      <c r="T82" s="18"/>
      <c r="Z82" s="5"/>
    </row>
    <row r="83" spans="1:28" ht="25.5">
      <c r="A83" s="244"/>
      <c r="B83" s="3" t="s">
        <v>413</v>
      </c>
      <c r="C83" s="3" t="s">
        <v>445</v>
      </c>
      <c r="D83" s="3" t="s">
        <v>467</v>
      </c>
      <c r="E83" s="3" t="s">
        <v>416</v>
      </c>
      <c r="G83" s="3" t="s">
        <v>417</v>
      </c>
      <c r="H83" s="17">
        <v>1.6</v>
      </c>
      <c r="N83" s="5" t="e">
        <f>AVERAGE(I83:M83)</f>
        <v>#DIV/0!</v>
      </c>
      <c r="O83" s="3" t="e">
        <f>SQRT(VAR(I83:M83))</f>
        <v>#DIV/0!</v>
      </c>
      <c r="P83" s="3">
        <f>COUNT(I83:M83)</f>
        <v>0</v>
      </c>
      <c r="S83" s="244"/>
      <c r="T83" s="19"/>
      <c r="Z83" s="5" t="e">
        <f>AVERAGE(T83:Y83)</f>
        <v>#DIV/0!</v>
      </c>
      <c r="AA83" s="3" t="e">
        <f>SQRT(VAR(T83:Y83))</f>
        <v>#DIV/0!</v>
      </c>
      <c r="AB83" s="3">
        <f>COUNT(T83:Y83)</f>
        <v>0</v>
      </c>
    </row>
    <row r="84" spans="1:28" ht="25.5">
      <c r="A84" s="244"/>
      <c r="G84" s="11" t="s">
        <v>418</v>
      </c>
      <c r="H84" s="11">
        <v>4.4999999999999998E-2</v>
      </c>
      <c r="I84" s="20"/>
      <c r="J84" s="208"/>
      <c r="K84" s="20"/>
      <c r="L84" s="20"/>
      <c r="M84" s="20"/>
      <c r="N84" s="27" t="e">
        <f>AVERAGE(I84:M84)</f>
        <v>#DIV/0!</v>
      </c>
      <c r="O84" s="11" t="e">
        <f>SQRT(VAR(I84:M84))</f>
        <v>#DIV/0!</v>
      </c>
      <c r="P84" s="11">
        <f>COUNT(I84:M84)</f>
        <v>0</v>
      </c>
      <c r="S84" s="244"/>
      <c r="T84" s="22"/>
      <c r="U84" s="20"/>
      <c r="V84" s="20"/>
      <c r="W84" s="20"/>
      <c r="X84" s="20"/>
      <c r="Y84" s="20"/>
      <c r="Z84" s="27" t="e">
        <f>AVERAGE(T84:Y84)</f>
        <v>#DIV/0!</v>
      </c>
      <c r="AA84" s="11" t="e">
        <f>SQRT(VAR(T84:Y84))</f>
        <v>#DIV/0!</v>
      </c>
      <c r="AB84" s="11">
        <f>COUNT(T84:Y84)</f>
        <v>0</v>
      </c>
    </row>
    <row r="85" spans="1:28">
      <c r="A85" s="244"/>
      <c r="J85" s="209"/>
      <c r="N85" s="5"/>
      <c r="S85" s="244"/>
      <c r="Z85" s="5"/>
    </row>
    <row r="86" spans="1:28">
      <c r="A86" s="244"/>
      <c r="B86" s="9" t="s">
        <v>50</v>
      </c>
      <c r="C86" s="9"/>
      <c r="D86" s="9" t="s">
        <v>50</v>
      </c>
      <c r="E86" s="9"/>
      <c r="F86" s="9"/>
      <c r="G86" s="13"/>
      <c r="H86" s="13"/>
      <c r="I86" s="16"/>
      <c r="J86" s="210"/>
      <c r="K86" s="16"/>
      <c r="L86" s="16"/>
      <c r="M86" s="16"/>
      <c r="N86" s="26"/>
      <c r="O86" s="13"/>
      <c r="P86" s="13"/>
      <c r="S86" s="244"/>
      <c r="T86" s="16"/>
      <c r="U86" s="16"/>
      <c r="V86" s="16"/>
      <c r="W86" s="16"/>
      <c r="X86" s="16"/>
      <c r="Y86" s="16"/>
      <c r="Z86" s="26"/>
      <c r="AA86" s="13"/>
      <c r="AB86" s="13"/>
    </row>
    <row r="87" spans="1:28" ht="38.25">
      <c r="A87" s="244"/>
      <c r="B87" s="3" t="s">
        <v>413</v>
      </c>
      <c r="C87" s="3" t="s">
        <v>441</v>
      </c>
      <c r="D87" s="3" t="s">
        <v>468</v>
      </c>
      <c r="E87" s="3" t="s">
        <v>429</v>
      </c>
      <c r="F87" s="3" t="s">
        <v>69</v>
      </c>
      <c r="G87" s="3" t="s">
        <v>417</v>
      </c>
      <c r="H87" s="17">
        <v>1.6</v>
      </c>
      <c r="I87" s="2">
        <f>UL_OH!R28*3.457</f>
        <v>3.1839260504201676</v>
      </c>
      <c r="J87" s="209">
        <f>5.705*0.6921005</f>
        <v>3.9484333524999999</v>
      </c>
      <c r="N87" s="5">
        <f>AVERAGE(I87:M87)</f>
        <v>3.5661797014600838</v>
      </c>
      <c r="O87" s="3">
        <f>SQRT(VAR(I87:M87))</f>
        <v>0.54058829756728111</v>
      </c>
      <c r="P87" s="3">
        <f>COUNT(I87:M87)</f>
        <v>2</v>
      </c>
      <c r="S87" s="244"/>
      <c r="T87" s="2">
        <f>UL_OH!R28*3.384</f>
        <v>3.1166924369747897</v>
      </c>
      <c r="Z87" s="5">
        <f>AVERAGE(T87:Y87)</f>
        <v>3.1166924369747897</v>
      </c>
      <c r="AA87" s="3" t="e">
        <f>SQRT(VAR(T87:Y87))</f>
        <v>#DIV/0!</v>
      </c>
      <c r="AB87" s="3">
        <f>COUNT(T87:Y87)</f>
        <v>1</v>
      </c>
    </row>
    <row r="88" spans="1:28" ht="25.5">
      <c r="A88" s="244"/>
      <c r="G88" s="11" t="s">
        <v>418</v>
      </c>
      <c r="H88" s="11">
        <v>4.4999999999999998E-2</v>
      </c>
      <c r="I88" s="20">
        <f>UL_OH!R28*0.123</f>
        <v>0.11328403361344537</v>
      </c>
      <c r="J88" s="208">
        <f>0.3098*0.6921005</f>
        <v>0.21441273490000001</v>
      </c>
      <c r="K88" s="20"/>
      <c r="L88" s="20"/>
      <c r="M88" s="20"/>
      <c r="N88" s="27">
        <f>AVERAGE(I88:M88)</f>
        <v>0.16384838425672268</v>
      </c>
      <c r="O88" s="11">
        <f>SQRT(VAR(I88:M88))</f>
        <v>7.1508790452311552E-2</v>
      </c>
      <c r="P88" s="11">
        <f>COUNT(I88:M88)</f>
        <v>2</v>
      </c>
      <c r="S88" s="244"/>
      <c r="T88" s="20">
        <f>UL_OH!R28*0.103</f>
        <v>9.4863865546218479E-2</v>
      </c>
      <c r="U88" s="20"/>
      <c r="V88" s="20"/>
      <c r="W88" s="20"/>
      <c r="X88" s="20"/>
      <c r="Y88" s="20"/>
      <c r="Z88" s="27">
        <f>AVERAGE(T88:Y88)</f>
        <v>9.4863865546218479E-2</v>
      </c>
      <c r="AA88" s="11" t="e">
        <f>SQRT(VAR(T88:Y88))</f>
        <v>#DIV/0!</v>
      </c>
      <c r="AB88" s="11">
        <f>COUNT(T88:Y88)</f>
        <v>1</v>
      </c>
    </row>
    <row r="89" spans="1:28">
      <c r="A89" s="30"/>
      <c r="J89" s="209"/>
      <c r="N89" s="5"/>
      <c r="S89" s="30"/>
      <c r="Z89" s="5"/>
    </row>
    <row r="90" spans="1:28" ht="38.25">
      <c r="A90" s="30"/>
      <c r="B90" s="3" t="s">
        <v>413</v>
      </c>
      <c r="C90" s="3" t="s">
        <v>441</v>
      </c>
      <c r="D90" s="3" t="s">
        <v>468</v>
      </c>
      <c r="E90" s="3" t="s">
        <v>416</v>
      </c>
      <c r="F90" s="3" t="s">
        <v>69</v>
      </c>
      <c r="G90" s="3" t="s">
        <v>417</v>
      </c>
      <c r="H90" s="17">
        <v>1.6</v>
      </c>
      <c r="I90" s="2">
        <f>UL_OH!R19*3.719</f>
        <v>3.5002352941176471</v>
      </c>
      <c r="J90" s="209"/>
      <c r="N90" s="5">
        <f>AVERAGE(I90:M90)</f>
        <v>3.5002352941176471</v>
      </c>
      <c r="O90" s="3" t="e">
        <f>SQRT(VAR(I90:M90))</f>
        <v>#DIV/0!</v>
      </c>
      <c r="P90" s="3">
        <f>COUNT(I90:M90)</f>
        <v>1</v>
      </c>
      <c r="S90" s="30"/>
      <c r="T90" s="2">
        <f>UL_OH!R19*3.643</f>
        <v>3.4287058823529413</v>
      </c>
      <c r="Z90" s="5">
        <f>AVERAGE(T90:Y90)</f>
        <v>3.4287058823529413</v>
      </c>
      <c r="AA90" s="3" t="e">
        <f>SQRT(VAR(T90:Y90))</f>
        <v>#DIV/0!</v>
      </c>
      <c r="AB90" s="3">
        <f>COUNT(T90:Y90)</f>
        <v>1</v>
      </c>
    </row>
    <row r="91" spans="1:28" ht="25.5">
      <c r="A91" s="30"/>
      <c r="G91" s="11" t="s">
        <v>418</v>
      </c>
      <c r="H91" s="11">
        <v>4.4999999999999998E-2</v>
      </c>
      <c r="I91" s="20">
        <f>UL_OH!R19*0.126</f>
        <v>0.11858823529411766</v>
      </c>
      <c r="J91" s="20"/>
      <c r="K91" s="20"/>
      <c r="L91" s="20"/>
      <c r="M91" s="20"/>
      <c r="N91" s="27">
        <f>AVERAGE(I91:M91)</f>
        <v>0.11858823529411766</v>
      </c>
      <c r="O91" s="11" t="e">
        <f>SQRT(VAR(I91:M91))</f>
        <v>#DIV/0!</v>
      </c>
      <c r="P91" s="11">
        <f>COUNT(I91:M91)</f>
        <v>1</v>
      </c>
      <c r="S91" s="30"/>
      <c r="T91" s="20">
        <f>UL_OH!R19*0.104</f>
        <v>9.7882352941176476E-2</v>
      </c>
      <c r="U91" s="20"/>
      <c r="V91" s="20"/>
      <c r="W91" s="20"/>
      <c r="X91" s="20"/>
      <c r="Y91" s="20"/>
      <c r="Z91" s="27">
        <f>AVERAGE(T91:Y91)</f>
        <v>9.7882352941176476E-2</v>
      </c>
      <c r="AA91" s="11" t="e">
        <f>SQRT(VAR(T91:Y91))</f>
        <v>#DIV/0!</v>
      </c>
      <c r="AB91" s="11">
        <f>COUNT(T91:Y91)</f>
        <v>1</v>
      </c>
    </row>
    <row r="92" spans="1:28">
      <c r="A92" s="30"/>
      <c r="N92" s="5"/>
      <c r="S92" s="30"/>
      <c r="Z92" s="5"/>
    </row>
    <row r="93" spans="1:28" ht="38.25">
      <c r="A93" s="30"/>
      <c r="B93" s="3" t="s">
        <v>413</v>
      </c>
      <c r="C93" s="3" t="s">
        <v>441</v>
      </c>
      <c r="D93" s="3" t="s">
        <v>469</v>
      </c>
      <c r="E93" s="3" t="s">
        <v>429</v>
      </c>
      <c r="F93" s="3" t="s">
        <v>69</v>
      </c>
      <c r="G93" s="3" t="s">
        <v>417</v>
      </c>
      <c r="H93" s="17">
        <v>1.6</v>
      </c>
      <c r="I93" s="2">
        <f>UL_OH!R28*6.219</f>
        <v>5.7277512605042018</v>
      </c>
      <c r="N93" s="5">
        <f>AVERAGE(I93:M93)</f>
        <v>5.7277512605042018</v>
      </c>
      <c r="O93" s="3" t="e">
        <f>SQRT(VAR(I93:M93))</f>
        <v>#DIV/0!</v>
      </c>
      <c r="P93" s="3">
        <f>COUNT(I93:M93)</f>
        <v>1</v>
      </c>
      <c r="S93" s="30"/>
      <c r="T93" s="2">
        <f>UL_OH!R28*6.257</f>
        <v>5.7627495798319321</v>
      </c>
      <c r="Z93" s="5">
        <f>AVERAGE(T93:Y93)</f>
        <v>5.7627495798319321</v>
      </c>
      <c r="AA93" s="3" t="e">
        <f>SQRT(VAR(T93:Y93))</f>
        <v>#DIV/0!</v>
      </c>
      <c r="AB93" s="3">
        <f>COUNT(T93:Y93)</f>
        <v>1</v>
      </c>
    </row>
    <row r="94" spans="1:28" ht="25.5">
      <c r="A94" s="30"/>
      <c r="G94" s="11" t="s">
        <v>418</v>
      </c>
      <c r="H94" s="11">
        <v>4.4999999999999998E-2</v>
      </c>
      <c r="I94" s="20">
        <f>UL_OH!R28*0.193</f>
        <v>0.1777546218487395</v>
      </c>
      <c r="J94" s="20"/>
      <c r="K94" s="20"/>
      <c r="L94" s="20"/>
      <c r="M94" s="20"/>
      <c r="N94" s="27">
        <f>AVERAGE(I94:M94)</f>
        <v>0.1777546218487395</v>
      </c>
      <c r="O94" s="11" t="e">
        <f>SQRT(VAR(I94:M94))</f>
        <v>#DIV/0!</v>
      </c>
      <c r="P94" s="11">
        <f>COUNT(I94:M94)</f>
        <v>1</v>
      </c>
      <c r="S94" s="30"/>
      <c r="T94" s="20">
        <f>UL_OH!R28*0.141</f>
        <v>0.12986218487394957</v>
      </c>
      <c r="U94" s="20"/>
      <c r="V94" s="20"/>
      <c r="W94" s="20"/>
      <c r="X94" s="20"/>
      <c r="Y94" s="20"/>
      <c r="Z94" s="27">
        <f>AVERAGE(T94:Y94)</f>
        <v>0.12986218487394957</v>
      </c>
      <c r="AA94" s="11" t="e">
        <f>SQRT(VAR(T94:Y94))</f>
        <v>#DIV/0!</v>
      </c>
      <c r="AB94" s="11">
        <f>COUNT(T94:Y94)</f>
        <v>1</v>
      </c>
    </row>
    <row r="95" spans="1:28">
      <c r="A95" s="30"/>
      <c r="N95" s="5"/>
      <c r="S95" s="30"/>
      <c r="Z95" s="5"/>
    </row>
    <row r="96" spans="1:28" ht="38.25">
      <c r="A96" s="30"/>
      <c r="B96" s="3" t="s">
        <v>413</v>
      </c>
      <c r="C96" s="3" t="s">
        <v>441</v>
      </c>
      <c r="D96" s="3" t="s">
        <v>469</v>
      </c>
      <c r="E96" s="3" t="s">
        <v>416</v>
      </c>
      <c r="F96" s="3" t="s">
        <v>69</v>
      </c>
      <c r="G96" s="3" t="s">
        <v>417</v>
      </c>
      <c r="H96" s="17">
        <v>1.6</v>
      </c>
      <c r="I96" s="2">
        <f>UL_OH!R19*6.627</f>
        <v>6.2371764705882358</v>
      </c>
      <c r="N96" s="5">
        <f>AVERAGE(I96:M96)</f>
        <v>6.2371764705882358</v>
      </c>
      <c r="O96" s="3" t="e">
        <f>SQRT(VAR(I96:M96))</f>
        <v>#DIV/0!</v>
      </c>
      <c r="P96" s="3">
        <f>COUNT(I96:M96)</f>
        <v>1</v>
      </c>
      <c r="S96" s="30"/>
      <c r="T96" s="2">
        <f>UL_OH!R19*6.349</f>
        <v>5.9755294117647066</v>
      </c>
      <c r="Z96" s="5">
        <f>AVERAGE(T96:Y96)</f>
        <v>5.9755294117647066</v>
      </c>
      <c r="AA96" s="3" t="e">
        <f>SQRT(VAR(T96:Y96))</f>
        <v>#DIV/0!</v>
      </c>
      <c r="AB96" s="3">
        <f>COUNT(T96:Y96)</f>
        <v>1</v>
      </c>
    </row>
    <row r="97" spans="1:28" ht="25.5">
      <c r="A97" s="30"/>
      <c r="G97" s="11" t="s">
        <v>418</v>
      </c>
      <c r="H97" s="11">
        <v>4.4999999999999998E-2</v>
      </c>
      <c r="I97" s="20">
        <f>UL_OH!R19*0.195</f>
        <v>0.18352941176470591</v>
      </c>
      <c r="J97" s="20"/>
      <c r="K97" s="20"/>
      <c r="L97" s="20"/>
      <c r="M97" s="20"/>
      <c r="N97" s="27">
        <f>AVERAGE(I97:M97)</f>
        <v>0.18352941176470591</v>
      </c>
      <c r="O97" s="11" t="e">
        <f>SQRT(VAR(I97:M97))</f>
        <v>#DIV/0!</v>
      </c>
      <c r="P97" s="11">
        <f>COUNT(I97:M97)</f>
        <v>1</v>
      </c>
      <c r="S97" s="30"/>
      <c r="T97" s="20">
        <f>UL_OH!R19*0.157</f>
        <v>0.14776470588235296</v>
      </c>
      <c r="U97" s="20"/>
      <c r="V97" s="20"/>
      <c r="W97" s="20"/>
      <c r="X97" s="20"/>
      <c r="Y97" s="20"/>
      <c r="Z97" s="27">
        <f>AVERAGE(T97:Y97)</f>
        <v>0.14776470588235296</v>
      </c>
      <c r="AA97" s="11" t="e">
        <f>SQRT(VAR(T97:Y97))</f>
        <v>#DIV/0!</v>
      </c>
      <c r="AB97" s="11">
        <f>COUNT(T97:Y97)</f>
        <v>1</v>
      </c>
    </row>
    <row r="98" spans="1:28">
      <c r="A98" s="30"/>
      <c r="N98" s="5"/>
      <c r="S98" s="30"/>
      <c r="Z98" s="5"/>
    </row>
    <row r="99" spans="1:28" ht="38.25">
      <c r="A99" s="30"/>
      <c r="B99" s="3" t="s">
        <v>413</v>
      </c>
      <c r="C99" s="3" t="s">
        <v>452</v>
      </c>
      <c r="D99" s="3" t="s">
        <v>470</v>
      </c>
      <c r="E99" s="3" t="s">
        <v>416</v>
      </c>
      <c r="F99" s="3" t="s">
        <v>70</v>
      </c>
      <c r="G99" s="3" t="s">
        <v>417</v>
      </c>
      <c r="H99" s="17">
        <v>1.6</v>
      </c>
      <c r="N99" s="5" t="e">
        <f>AVERAGE(I99:M99)</f>
        <v>#DIV/0!</v>
      </c>
      <c r="O99" s="3" t="e">
        <f>SQRT(VAR(I99:M99))</f>
        <v>#DIV/0!</v>
      </c>
      <c r="P99" s="3">
        <f>COUNT(I99:M99)</f>
        <v>0</v>
      </c>
      <c r="S99" s="30"/>
      <c r="Z99" s="5" t="e">
        <f>AVERAGE(T99:Y99)</f>
        <v>#DIV/0!</v>
      </c>
      <c r="AA99" s="3" t="e">
        <f>SQRT(VAR(T99:Y99))</f>
        <v>#DIV/0!</v>
      </c>
      <c r="AB99" s="3">
        <f>COUNT(T99:Y99)</f>
        <v>0</v>
      </c>
    </row>
    <row r="100" spans="1:28" ht="25.5">
      <c r="A100" s="30"/>
      <c r="G100" s="11" t="s">
        <v>418</v>
      </c>
      <c r="H100" s="11">
        <v>4.4999999999999998E-2</v>
      </c>
      <c r="I100" s="20"/>
      <c r="J100" s="20"/>
      <c r="K100" s="20"/>
      <c r="L100" s="20"/>
      <c r="M100" s="20"/>
      <c r="N100" s="27" t="e">
        <f>AVERAGE(I100:M100)</f>
        <v>#DIV/0!</v>
      </c>
      <c r="O100" s="11" t="e">
        <f>SQRT(VAR(I100:M100))</f>
        <v>#DIV/0!</v>
      </c>
      <c r="P100" s="11">
        <f>COUNT(I100:M100)</f>
        <v>0</v>
      </c>
      <c r="S100" s="30"/>
      <c r="T100" s="20"/>
      <c r="U100" s="20"/>
      <c r="V100" s="20"/>
      <c r="W100" s="20"/>
      <c r="X100" s="20"/>
      <c r="Y100" s="20"/>
      <c r="Z100" s="27" t="e">
        <f>AVERAGE(T100:Y100)</f>
        <v>#DIV/0!</v>
      </c>
      <c r="AA100" s="11" t="e">
        <f>SQRT(VAR(T100:Y100))</f>
        <v>#DIV/0!</v>
      </c>
      <c r="AB100" s="11">
        <f>COUNT(T100:Y100)</f>
        <v>0</v>
      </c>
    </row>
    <row r="101" spans="1:28">
      <c r="A101" s="30"/>
      <c r="N101" s="5"/>
      <c r="S101" s="30"/>
      <c r="Z101" s="5"/>
    </row>
    <row r="102" spans="1:28" ht="38.25">
      <c r="A102" s="30"/>
      <c r="B102" s="3" t="s">
        <v>413</v>
      </c>
      <c r="C102" s="3" t="s">
        <v>454</v>
      </c>
      <c r="D102" s="3" t="s">
        <v>471</v>
      </c>
      <c r="E102" s="3" t="s">
        <v>416</v>
      </c>
      <c r="F102" s="3" t="s">
        <v>69</v>
      </c>
      <c r="G102" s="3" t="s">
        <v>417</v>
      </c>
      <c r="H102" s="17">
        <v>1.6</v>
      </c>
      <c r="N102" s="5" t="e">
        <f>AVERAGE(I102:M102)</f>
        <v>#DIV/0!</v>
      </c>
      <c r="O102" s="3" t="e">
        <f>SQRT(VAR(I102:M102))</f>
        <v>#DIV/0!</v>
      </c>
      <c r="P102" s="3">
        <f>COUNT(I102:M102)</f>
        <v>0</v>
      </c>
      <c r="S102" s="30"/>
      <c r="Z102" s="5" t="e">
        <f>AVERAGE(T102:Y102)</f>
        <v>#DIV/0!</v>
      </c>
      <c r="AA102" s="3" t="e">
        <f>SQRT(VAR(T102:Y102))</f>
        <v>#DIV/0!</v>
      </c>
      <c r="AB102" s="3">
        <f>COUNT(T102:Y102)</f>
        <v>0</v>
      </c>
    </row>
    <row r="103" spans="1:28" ht="25.5">
      <c r="A103" s="30"/>
      <c r="G103" s="11" t="s">
        <v>418</v>
      </c>
      <c r="H103" s="11">
        <v>4.4999999999999998E-2</v>
      </c>
      <c r="I103" s="20"/>
      <c r="J103" s="20"/>
      <c r="K103" s="20"/>
      <c r="L103" s="20"/>
      <c r="M103" s="20"/>
      <c r="N103" s="27" t="e">
        <f>AVERAGE(I103:M103)</f>
        <v>#DIV/0!</v>
      </c>
      <c r="O103" s="11" t="e">
        <f>SQRT(VAR(I103:M103))</f>
        <v>#DIV/0!</v>
      </c>
      <c r="P103" s="11">
        <f>COUNT(I103:M103)</f>
        <v>0</v>
      </c>
      <c r="S103" s="30"/>
      <c r="T103" s="20"/>
      <c r="U103" s="20"/>
      <c r="V103" s="20"/>
      <c r="W103" s="20"/>
      <c r="X103" s="20"/>
      <c r="Y103" s="20"/>
      <c r="Z103" s="27" t="e">
        <f>AVERAGE(T103:Y103)</f>
        <v>#DIV/0!</v>
      </c>
      <c r="AA103" s="11" t="e">
        <f>SQRT(VAR(T103:Y103))</f>
        <v>#DIV/0!</v>
      </c>
      <c r="AB103" s="11">
        <f>COUNT(T103:Y103)</f>
        <v>0</v>
      </c>
    </row>
    <row r="104" spans="1:28">
      <c r="A104" s="30"/>
      <c r="N104" s="5"/>
      <c r="S104" s="30"/>
      <c r="Z104" s="5"/>
    </row>
    <row r="105" spans="1:28" ht="38.25">
      <c r="A105" s="30"/>
      <c r="B105" s="3" t="s">
        <v>419</v>
      </c>
      <c r="C105" s="3" t="s">
        <v>454</v>
      </c>
      <c r="D105" s="3" t="s">
        <v>471</v>
      </c>
      <c r="E105" s="3" t="s">
        <v>416</v>
      </c>
      <c r="F105" s="189" t="s">
        <v>500</v>
      </c>
      <c r="G105" s="3" t="s">
        <v>417</v>
      </c>
      <c r="H105" s="17">
        <v>1.6</v>
      </c>
      <c r="N105" s="5" t="e">
        <f>AVERAGE(I105:M105)</f>
        <v>#DIV/0!</v>
      </c>
      <c r="O105" s="3" t="e">
        <f>SQRT(VAR(I105:M105))</f>
        <v>#DIV/0!</v>
      </c>
      <c r="P105" s="3">
        <f>COUNT(I105:M105)</f>
        <v>0</v>
      </c>
      <c r="S105" s="30"/>
      <c r="Z105" s="5" t="e">
        <f>AVERAGE(T105:Y105)</f>
        <v>#DIV/0!</v>
      </c>
      <c r="AA105" s="3" t="e">
        <f>SQRT(VAR(T105:Y105))</f>
        <v>#DIV/0!</v>
      </c>
      <c r="AB105" s="3">
        <f>COUNT(T105:Y105)</f>
        <v>0</v>
      </c>
    </row>
    <row r="106" spans="1:28" ht="25.5">
      <c r="A106" s="30"/>
      <c r="G106" s="11" t="s">
        <v>418</v>
      </c>
      <c r="H106" s="11">
        <v>4.4999999999999998E-2</v>
      </c>
      <c r="I106" s="20"/>
      <c r="J106" s="20"/>
      <c r="K106" s="20"/>
      <c r="L106" s="20"/>
      <c r="M106" s="20"/>
      <c r="N106" s="27" t="e">
        <f>AVERAGE(I106:M106)</f>
        <v>#DIV/0!</v>
      </c>
      <c r="O106" s="11" t="e">
        <f>SQRT(VAR(I106:M106))</f>
        <v>#DIV/0!</v>
      </c>
      <c r="P106" s="11">
        <f>COUNT(I106:M106)</f>
        <v>0</v>
      </c>
      <c r="S106" s="244"/>
      <c r="T106" s="20"/>
      <c r="U106" s="20"/>
      <c r="V106" s="20"/>
      <c r="W106" s="20"/>
      <c r="X106" s="20"/>
      <c r="Y106" s="20"/>
      <c r="Z106" s="27" t="e">
        <f>AVERAGE(T106:Y106)</f>
        <v>#DIV/0!</v>
      </c>
      <c r="AA106" s="11" t="e">
        <f>SQRT(VAR(T106:Y106))</f>
        <v>#DIV/0!</v>
      </c>
      <c r="AB106" s="11">
        <f>COUNT(T106:Y106)</f>
        <v>0</v>
      </c>
    </row>
    <row r="107" spans="1:28">
      <c r="A107" s="30"/>
      <c r="N107" s="5"/>
      <c r="S107" s="244"/>
      <c r="Z107" s="5"/>
    </row>
    <row r="108" spans="1:28" ht="38.25">
      <c r="A108" s="30"/>
      <c r="B108" s="3" t="s">
        <v>413</v>
      </c>
      <c r="C108" s="3" t="s">
        <v>456</v>
      </c>
      <c r="D108" s="29" t="s">
        <v>473</v>
      </c>
      <c r="E108" s="3" t="s">
        <v>429</v>
      </c>
      <c r="F108" s="29" t="s">
        <v>70</v>
      </c>
      <c r="G108" s="3" t="s">
        <v>417</v>
      </c>
      <c r="H108" s="17">
        <v>1.6</v>
      </c>
      <c r="M108" s="2">
        <f>UL_OH!R26*7.484</f>
        <v>7.8290315521129523</v>
      </c>
      <c r="N108" s="5">
        <f>AVERAGE(I108:M108)</f>
        <v>7.8290315521129523</v>
      </c>
      <c r="O108" s="3" t="e">
        <f>SQRT(VAR(I108:M108))</f>
        <v>#DIV/0!</v>
      </c>
      <c r="P108" s="3">
        <f>COUNT(I108:M108)</f>
        <v>1</v>
      </c>
      <c r="S108" s="244"/>
      <c r="X108" s="2">
        <f>UL_OH!R26*7.32</f>
        <v>7.6574707324247475</v>
      </c>
      <c r="Z108" s="5">
        <f>AVERAGE(T108:Y108)</f>
        <v>7.6574707324247475</v>
      </c>
      <c r="AA108" s="3" t="e">
        <f>SQRT(VAR(T108:Y108))</f>
        <v>#DIV/0!</v>
      </c>
      <c r="AB108" s="3">
        <f>COUNT(T108:Y108)</f>
        <v>1</v>
      </c>
    </row>
    <row r="109" spans="1:28" ht="25.5">
      <c r="A109" s="30"/>
      <c r="G109" s="11" t="s">
        <v>418</v>
      </c>
      <c r="H109" s="11">
        <v>4.4999999999999998E-2</v>
      </c>
      <c r="I109" s="20"/>
      <c r="J109" s="20"/>
      <c r="K109" s="20"/>
      <c r="L109" s="20"/>
      <c r="M109" s="20">
        <f>UL_OH!R26*0.301</f>
        <v>0.31487687028140016</v>
      </c>
      <c r="N109" s="27">
        <f>AVERAGE(I109:M109)</f>
        <v>0.31487687028140016</v>
      </c>
      <c r="O109" s="11" t="e">
        <f>SQRT(VAR(I109:M109))</f>
        <v>#DIV/0!</v>
      </c>
      <c r="P109" s="11">
        <f>COUNT(I109:M109)</f>
        <v>1</v>
      </c>
      <c r="S109" s="244"/>
      <c r="T109" s="20"/>
      <c r="U109" s="20"/>
      <c r="V109" s="20"/>
      <c r="W109" s="20"/>
      <c r="X109" s="20">
        <f>UL_OH!R26*0.31</f>
        <v>0.3242917933130699</v>
      </c>
      <c r="Y109" s="20"/>
      <c r="Z109" s="27">
        <f>AVERAGE(T109:Y109)</f>
        <v>0.3242917933130699</v>
      </c>
      <c r="AA109" s="11" t="e">
        <f>SQRT(VAR(T109:Y109))</f>
        <v>#DIV/0!</v>
      </c>
      <c r="AB109" s="11">
        <f>COUNT(T109:Y109)</f>
        <v>1</v>
      </c>
    </row>
    <row r="110" spans="1:28">
      <c r="A110" s="30"/>
      <c r="N110" s="5"/>
      <c r="S110" s="244"/>
      <c r="Z110" s="5"/>
    </row>
    <row r="111" spans="1:28" ht="38.25">
      <c r="A111" s="30"/>
      <c r="B111" s="3" t="s">
        <v>413</v>
      </c>
      <c r="C111" s="3" t="s">
        <v>456</v>
      </c>
      <c r="D111" s="29" t="s">
        <v>473</v>
      </c>
      <c r="E111" s="3" t="s">
        <v>429</v>
      </c>
      <c r="F111" s="3" t="s">
        <v>69</v>
      </c>
      <c r="G111" s="3" t="s">
        <v>417</v>
      </c>
      <c r="H111" s="17">
        <v>1.6</v>
      </c>
      <c r="N111" s="5" t="e">
        <f>AVERAGE(I111:M111)</f>
        <v>#DIV/0!</v>
      </c>
      <c r="O111" s="3" t="e">
        <f>SQRT(VAR(I111:M111))</f>
        <v>#DIV/0!</v>
      </c>
      <c r="P111" s="3">
        <f>COUNT(I111:M111)</f>
        <v>0</v>
      </c>
      <c r="S111" s="244"/>
      <c r="X111" s="2">
        <f>UL_OH!R29*6.8</f>
        <v>6.8184743124026994</v>
      </c>
      <c r="Z111" s="5">
        <f>AVERAGE(T111:Y111)</f>
        <v>6.8184743124026994</v>
      </c>
      <c r="AA111" s="3" t="e">
        <f>SQRT(VAR(T111:Y111))</f>
        <v>#DIV/0!</v>
      </c>
      <c r="AB111" s="3">
        <f>COUNT(T111:Y111)</f>
        <v>1</v>
      </c>
    </row>
    <row r="112" spans="1:28" ht="25.5">
      <c r="A112" s="30"/>
      <c r="G112" s="11" t="s">
        <v>418</v>
      </c>
      <c r="H112" s="11">
        <v>4.4999999999999998E-2</v>
      </c>
      <c r="I112" s="20"/>
      <c r="J112" s="20"/>
      <c r="K112" s="20"/>
      <c r="L112" s="20"/>
      <c r="M112" s="20"/>
      <c r="N112" s="27" t="e">
        <f>AVERAGE(I112:M112)</f>
        <v>#DIV/0!</v>
      </c>
      <c r="O112" s="11" t="e">
        <f>SQRT(VAR(I112:M112))</f>
        <v>#DIV/0!</v>
      </c>
      <c r="P112" s="11">
        <f>COUNT(I112:M112)</f>
        <v>0</v>
      </c>
      <c r="S112" s="244"/>
      <c r="T112" s="20"/>
      <c r="U112" s="20"/>
      <c r="V112" s="20"/>
      <c r="W112" s="20"/>
      <c r="X112" s="20">
        <f>UL_OH!R29*0.29</f>
        <v>0.29078787508776216</v>
      </c>
      <c r="Y112" s="20"/>
      <c r="Z112" s="27">
        <f>AVERAGE(T112:Y112)</f>
        <v>0.29078787508776216</v>
      </c>
      <c r="AA112" s="11" t="e">
        <f>SQRT(VAR(T112:Y112))</f>
        <v>#DIV/0!</v>
      </c>
      <c r="AB112" s="11">
        <f>COUNT(T112:Y112)</f>
        <v>1</v>
      </c>
    </row>
    <row r="113" spans="1:28">
      <c r="A113" s="30"/>
      <c r="N113" s="5"/>
      <c r="S113" s="244"/>
      <c r="Z113" s="5"/>
    </row>
    <row r="114" spans="1:28" ht="38.25">
      <c r="A114" s="30"/>
      <c r="B114" s="3" t="s">
        <v>413</v>
      </c>
      <c r="C114" s="3" t="s">
        <v>474</v>
      </c>
      <c r="D114" s="3" t="s">
        <v>475</v>
      </c>
      <c r="E114" s="3" t="s">
        <v>429</v>
      </c>
      <c r="F114" s="3" t="s">
        <v>72</v>
      </c>
      <c r="G114" s="3" t="s">
        <v>417</v>
      </c>
      <c r="H114" s="17">
        <v>1.6</v>
      </c>
      <c r="N114" s="5" t="e">
        <f>AVERAGE(I114:M114)</f>
        <v>#DIV/0!</v>
      </c>
      <c r="O114" s="3" t="e">
        <f>SQRT(VAR(I114:M114))</f>
        <v>#DIV/0!</v>
      </c>
      <c r="P114" s="3">
        <f>COUNT(I114:M114)</f>
        <v>0</v>
      </c>
      <c r="S114" s="244"/>
      <c r="Z114" s="5" t="e">
        <f>AVERAGE(T114:Y114)</f>
        <v>#DIV/0!</v>
      </c>
      <c r="AA114" s="3" t="e">
        <f>SQRT(VAR(T114:Y114))</f>
        <v>#DIV/0!</v>
      </c>
      <c r="AB114" s="3">
        <f>COUNT(T114:Y114)</f>
        <v>0</v>
      </c>
    </row>
    <row r="115" spans="1:28" ht="25.5">
      <c r="A115" s="30"/>
      <c r="G115" s="11" t="s">
        <v>418</v>
      </c>
      <c r="H115" s="11">
        <v>4.4999999999999998E-2</v>
      </c>
      <c r="I115" s="20"/>
      <c r="J115" s="20"/>
      <c r="K115" s="20"/>
      <c r="L115" s="20"/>
      <c r="M115" s="20"/>
      <c r="N115" s="27" t="e">
        <f>AVERAGE(I115:M115)</f>
        <v>#DIV/0!</v>
      </c>
      <c r="O115" s="11" t="e">
        <f>SQRT(VAR(I115:M115))</f>
        <v>#DIV/0!</v>
      </c>
      <c r="P115" s="11">
        <f>COUNT(I115:M115)</f>
        <v>0</v>
      </c>
      <c r="S115" s="244"/>
      <c r="T115" s="20"/>
      <c r="U115" s="20"/>
      <c r="V115" s="20"/>
      <c r="W115" s="20"/>
      <c r="X115" s="20"/>
      <c r="Y115" s="20"/>
      <c r="Z115" s="27" t="e">
        <f>AVERAGE(T115:Y115)</f>
        <v>#DIV/0!</v>
      </c>
      <c r="AA115" s="11" t="e">
        <f>SQRT(VAR(T115:Y115))</f>
        <v>#DIV/0!</v>
      </c>
      <c r="AB115" s="11">
        <f>COUNT(T115:Y115)</f>
        <v>0</v>
      </c>
    </row>
    <row r="116" spans="1:28">
      <c r="N116" s="5"/>
      <c r="Z116" s="5"/>
    </row>
    <row r="117" spans="1:28">
      <c r="N117" s="5"/>
      <c r="Z117" s="5"/>
    </row>
    <row r="118" spans="1:28">
      <c r="N118" s="5"/>
      <c r="Z118" s="5"/>
    </row>
    <row r="119" spans="1:28">
      <c r="N119" s="5"/>
      <c r="Z119" s="5"/>
    </row>
    <row r="120" spans="1:28">
      <c r="N120" s="5"/>
      <c r="Z120" s="5"/>
    </row>
    <row r="121" spans="1:28">
      <c r="N121" s="5"/>
      <c r="Z121" s="5"/>
    </row>
    <row r="122" spans="1:28">
      <c r="N122" s="5"/>
      <c r="Z122" s="5"/>
    </row>
    <row r="123" spans="1:28">
      <c r="N123" s="5"/>
      <c r="Z123" s="5"/>
    </row>
    <row r="124" spans="1:28">
      <c r="N124" s="5"/>
      <c r="Z124" s="5"/>
    </row>
    <row r="125" spans="1:28">
      <c r="N125" s="5"/>
      <c r="Z125" s="5"/>
    </row>
    <row r="126" spans="1:28">
      <c r="N126" s="5"/>
      <c r="Z126" s="5"/>
    </row>
    <row r="127" spans="1:28">
      <c r="N127" s="5"/>
      <c r="Z127" s="5"/>
    </row>
    <row r="128" spans="1:28">
      <c r="N128" s="5"/>
      <c r="Z128" s="5"/>
    </row>
    <row r="129" spans="14:26">
      <c r="N129" s="5"/>
      <c r="Z129" s="5"/>
    </row>
    <row r="130" spans="14:26">
      <c r="N130" s="5"/>
      <c r="Z130" s="5"/>
    </row>
    <row r="131" spans="14:26">
      <c r="N131" s="5"/>
      <c r="Z131" s="5"/>
    </row>
    <row r="132" spans="14:26">
      <c r="N132" s="5"/>
      <c r="Z132" s="5"/>
    </row>
    <row r="133" spans="14:26">
      <c r="N133" s="5"/>
      <c r="Z133" s="5"/>
    </row>
    <row r="134" spans="14:26">
      <c r="N134" s="5"/>
      <c r="Z134" s="5"/>
    </row>
    <row r="135" spans="14:26">
      <c r="N135" s="5"/>
      <c r="Z135" s="5"/>
    </row>
    <row r="136" spans="14:26">
      <c r="N136" s="5"/>
      <c r="Z136" s="5"/>
    </row>
    <row r="137" spans="14:26">
      <c r="N137" s="5"/>
      <c r="Z137" s="5"/>
    </row>
    <row r="138" spans="14:26">
      <c r="N138" s="5"/>
      <c r="Z138" s="5"/>
    </row>
    <row r="139" spans="14:26">
      <c r="N139" s="5"/>
      <c r="Z139" s="5"/>
    </row>
    <row r="140" spans="14:26">
      <c r="N140" s="5"/>
      <c r="Z140" s="5"/>
    </row>
    <row r="141" spans="14:26">
      <c r="N141" s="5"/>
      <c r="Z141" s="5"/>
    </row>
    <row r="142" spans="14:26">
      <c r="N142" s="5"/>
      <c r="Z142" s="5"/>
    </row>
    <row r="143" spans="14:26">
      <c r="N143" s="5"/>
      <c r="Z143" s="5"/>
    </row>
    <row r="144" spans="14:26">
      <c r="N144" s="5"/>
      <c r="Z144" s="5"/>
    </row>
    <row r="145" spans="14:26">
      <c r="N145" s="5"/>
      <c r="Z145" s="5"/>
    </row>
    <row r="146" spans="14:26">
      <c r="N146" s="5"/>
      <c r="Z146" s="5"/>
    </row>
    <row r="147" spans="14:26">
      <c r="N147" s="5"/>
      <c r="Z147" s="5"/>
    </row>
    <row r="148" spans="14:26">
      <c r="N148" s="5"/>
      <c r="Z148" s="5"/>
    </row>
  </sheetData>
  <mergeCells count="7">
    <mergeCell ref="S106:S115"/>
    <mergeCell ref="G1:H1"/>
    <mergeCell ref="A2:A30"/>
    <mergeCell ref="A70:A88"/>
    <mergeCell ref="S2:S30"/>
    <mergeCell ref="S62:S67"/>
    <mergeCell ref="S70:S88"/>
  </mergeCells>
  <phoneticPr fontId="11" type="noConversion"/>
  <pageMargins left="0.69930555555555596" right="0.69930555555555596"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tabSelected="1" zoomScale="70" zoomScaleNormal="70" workbookViewId="0">
      <pane xSplit="8" ySplit="2" topLeftCell="I78" activePane="bottomRight" state="frozen"/>
      <selection pane="topRight"/>
      <selection pane="bottomLeft"/>
      <selection pane="bottomRight" activeCell="J44" sqref="J44:J48"/>
    </sheetView>
  </sheetViews>
  <sheetFormatPr defaultColWidth="9.28515625" defaultRowHeight="12.75"/>
  <cols>
    <col min="1" max="1" width="9.28515625" style="3"/>
    <col min="2" max="2" width="4.42578125" style="3" customWidth="1"/>
    <col min="3" max="3" width="24.5703125" style="3" customWidth="1"/>
    <col min="4" max="4" width="16" style="3" customWidth="1"/>
    <col min="5" max="5" width="11.28515625" style="3" customWidth="1"/>
    <col min="6" max="6" width="9.28515625" style="3" customWidth="1"/>
    <col min="7" max="7" width="16.42578125" style="3" customWidth="1"/>
    <col min="8" max="8" width="6.42578125" style="3" customWidth="1"/>
    <col min="9" max="12" width="9.28515625" style="2" customWidth="1"/>
    <col min="13" max="14" width="9.28515625" style="3" customWidth="1"/>
    <col min="15" max="18" width="9.28515625" style="3"/>
    <col min="19" max="23" width="9.28515625" style="2" customWidth="1"/>
    <col min="24" max="25" width="9.28515625" style="3" customWidth="1"/>
    <col min="26" max="16384" width="9.28515625" style="3"/>
  </cols>
  <sheetData>
    <row r="1" spans="1:26" s="1" customFormat="1" ht="40.9" customHeight="1">
      <c r="A1" s="6" t="s">
        <v>403</v>
      </c>
      <c r="B1" s="1" t="s">
        <v>404</v>
      </c>
      <c r="C1" s="1" t="s">
        <v>405</v>
      </c>
      <c r="D1" s="1" t="s">
        <v>406</v>
      </c>
      <c r="E1" s="1" t="s">
        <v>57</v>
      </c>
      <c r="F1" s="1" t="s">
        <v>67</v>
      </c>
      <c r="G1" s="245" t="s">
        <v>407</v>
      </c>
      <c r="H1" s="245"/>
      <c r="I1" s="14" t="s">
        <v>5</v>
      </c>
      <c r="J1" s="15" t="s">
        <v>14</v>
      </c>
      <c r="K1" s="23" t="s">
        <v>16</v>
      </c>
      <c r="L1" s="24" t="s">
        <v>20</v>
      </c>
      <c r="M1" s="1" t="s">
        <v>408</v>
      </c>
      <c r="N1" s="1" t="s">
        <v>409</v>
      </c>
      <c r="O1" s="1" t="s">
        <v>410</v>
      </c>
      <c r="R1" s="6" t="s">
        <v>411</v>
      </c>
      <c r="S1" s="14" t="str">
        <f>I1</f>
        <v>Huawei</v>
      </c>
      <c r="T1" s="14" t="str">
        <f>J1</f>
        <v>CAICT</v>
      </c>
      <c r="U1" s="14" t="str">
        <f>K1</f>
        <v>OPPO</v>
      </c>
      <c r="V1" s="28" t="s">
        <v>20</v>
      </c>
      <c r="W1" s="14" t="s">
        <v>23</v>
      </c>
      <c r="X1" s="1" t="s">
        <v>408</v>
      </c>
      <c r="Y1" s="1" t="s">
        <v>409</v>
      </c>
      <c r="Z1" s="1" t="s">
        <v>410</v>
      </c>
    </row>
    <row r="2" spans="1:26" ht="12.75" customHeight="1">
      <c r="A2" s="8" t="s">
        <v>412</v>
      </c>
      <c r="B2" s="9" t="s">
        <v>49</v>
      </c>
      <c r="C2" s="9"/>
      <c r="D2" s="9" t="s">
        <v>49</v>
      </c>
      <c r="E2" s="9"/>
      <c r="F2" s="9"/>
      <c r="G2" s="9"/>
      <c r="H2" s="9"/>
      <c r="I2" s="16"/>
      <c r="J2" s="16"/>
      <c r="K2" s="16"/>
      <c r="L2" s="16"/>
      <c r="M2" s="26"/>
      <c r="N2" s="13"/>
      <c r="O2" s="13"/>
      <c r="R2" s="8" t="s">
        <v>412</v>
      </c>
      <c r="S2" s="16"/>
      <c r="T2" s="16"/>
      <c r="U2" s="16"/>
      <c r="V2" s="16"/>
      <c r="W2" s="16"/>
      <c r="X2" s="26"/>
      <c r="Y2" s="13"/>
      <c r="Z2" s="13"/>
    </row>
    <row r="3" spans="1:26" ht="25.5">
      <c r="A3" s="8"/>
      <c r="B3" s="3" t="s">
        <v>413</v>
      </c>
      <c r="C3" s="3" t="s">
        <v>476</v>
      </c>
      <c r="D3" s="3" t="s">
        <v>422</v>
      </c>
      <c r="E3" s="3" t="s">
        <v>416</v>
      </c>
      <c r="G3" s="3" t="s">
        <v>417</v>
      </c>
      <c r="H3" s="17">
        <v>3.3</v>
      </c>
      <c r="I3" s="2">
        <v>7.5970000000000004</v>
      </c>
      <c r="J3" s="2">
        <v>7.4595000000000002</v>
      </c>
      <c r="K3" s="2">
        <v>9.6199999999999992</v>
      </c>
      <c r="L3" s="2">
        <v>6.22</v>
      </c>
      <c r="M3" s="5">
        <f t="shared" ref="M3:M13" si="0">AVERAGE(I3:L3)</f>
        <v>7.724124999999999</v>
      </c>
      <c r="N3" s="3">
        <f t="shared" ref="N3:N13" si="1">SQRT(VAR(I3:L3))</f>
        <v>1.4074706850114826</v>
      </c>
      <c r="O3" s="3">
        <f t="shared" ref="O3:O13" si="2">COUNT(I3:L3)</f>
        <v>4</v>
      </c>
      <c r="R3" s="8"/>
      <c r="S3" s="2">
        <v>7.6070000000000002</v>
      </c>
      <c r="U3" s="2">
        <v>9.24</v>
      </c>
      <c r="V3" s="2">
        <v>6.29</v>
      </c>
      <c r="X3" s="5">
        <f>AVERAGE(S3:W3)</f>
        <v>7.7123333333333335</v>
      </c>
      <c r="Y3" s="3">
        <f>SQRT(VAR(S3:W3))</f>
        <v>1.477818098865127</v>
      </c>
      <c r="Z3" s="3">
        <f>COUNT(S3:W3)</f>
        <v>3</v>
      </c>
    </row>
    <row r="4" spans="1:26" ht="25.5">
      <c r="A4" s="8"/>
      <c r="G4" s="11" t="s">
        <v>418</v>
      </c>
      <c r="H4" s="11">
        <v>0.12</v>
      </c>
      <c r="I4" s="20">
        <v>0.18</v>
      </c>
      <c r="J4" s="20">
        <v>0.1608</v>
      </c>
      <c r="K4" s="20">
        <v>0.32</v>
      </c>
      <c r="L4" s="20">
        <v>0.21</v>
      </c>
      <c r="M4" s="27">
        <f t="shared" si="0"/>
        <v>0.2177</v>
      </c>
      <c r="N4" s="11">
        <f t="shared" si="1"/>
        <v>7.1141830170441914E-2</v>
      </c>
      <c r="O4" s="11">
        <f t="shared" si="2"/>
        <v>4</v>
      </c>
      <c r="R4" s="8"/>
      <c r="S4" s="20">
        <v>0.183</v>
      </c>
      <c r="T4" s="20"/>
      <c r="U4" s="20">
        <v>0.22</v>
      </c>
      <c r="V4" s="20">
        <v>0.23</v>
      </c>
      <c r="W4" s="20"/>
      <c r="X4" s="27">
        <f>AVERAGE(S4:W4)</f>
        <v>0.21099999999999999</v>
      </c>
      <c r="Y4" s="11">
        <f>SQRT(VAR(S4:W4))</f>
        <v>2.47588368062799E-2</v>
      </c>
      <c r="Z4" s="11">
        <f>COUNT(S4:W4)</f>
        <v>3</v>
      </c>
    </row>
    <row r="5" spans="1:26">
      <c r="A5" s="8"/>
      <c r="M5" s="5" t="e">
        <f t="shared" si="0"/>
        <v>#DIV/0!</v>
      </c>
      <c r="N5" s="3" t="e">
        <f t="shared" si="1"/>
        <v>#DIV/0!</v>
      </c>
      <c r="O5" s="3">
        <f t="shared" si="2"/>
        <v>0</v>
      </c>
      <c r="R5" s="8"/>
      <c r="X5" s="5" t="e">
        <f>AVERAGE(S5:W5)</f>
        <v>#DIV/0!</v>
      </c>
      <c r="Y5" s="3" t="e">
        <f>SQRT(VAR(S5:W5))</f>
        <v>#DIV/0!</v>
      </c>
      <c r="Z5" s="3">
        <f>COUNT(S5:W5)</f>
        <v>0</v>
      </c>
    </row>
    <row r="6" spans="1:26" ht="25.5">
      <c r="A6" s="8"/>
      <c r="B6" s="3" t="s">
        <v>413</v>
      </c>
      <c r="C6" s="3" t="s">
        <v>477</v>
      </c>
      <c r="D6" s="3" t="s">
        <v>424</v>
      </c>
      <c r="E6" s="3" t="s">
        <v>416</v>
      </c>
      <c r="G6" s="3" t="s">
        <v>417</v>
      </c>
      <c r="H6" s="17">
        <v>3.3</v>
      </c>
      <c r="I6" s="2">
        <v>8.1340000000000003</v>
      </c>
      <c r="M6" s="5">
        <f t="shared" si="0"/>
        <v>8.1340000000000003</v>
      </c>
      <c r="N6" s="3" t="e">
        <f t="shared" si="1"/>
        <v>#DIV/0!</v>
      </c>
      <c r="O6" s="3">
        <f t="shared" si="2"/>
        <v>1</v>
      </c>
      <c r="R6" s="8"/>
      <c r="S6" s="2">
        <v>8.1370000000000005</v>
      </c>
      <c r="X6" s="5">
        <f>AVERAGE(S6:W6)</f>
        <v>8.1370000000000005</v>
      </c>
      <c r="Y6" s="3" t="e">
        <f>SQRT(VAR(S6:W6))</f>
        <v>#DIV/0!</v>
      </c>
      <c r="Z6" s="3">
        <f>COUNT(S6:W6)</f>
        <v>1</v>
      </c>
    </row>
    <row r="7" spans="1:26" ht="25.5">
      <c r="A7" s="8"/>
      <c r="G7" s="11" t="s">
        <v>418</v>
      </c>
      <c r="H7" s="11">
        <v>0.12</v>
      </c>
      <c r="I7" s="20">
        <v>0.20300000000000001</v>
      </c>
      <c r="J7" s="20"/>
      <c r="K7" s="20"/>
      <c r="L7" s="20"/>
      <c r="M7" s="27">
        <f t="shared" si="0"/>
        <v>0.20300000000000001</v>
      </c>
      <c r="N7" s="11" t="e">
        <f t="shared" si="1"/>
        <v>#DIV/0!</v>
      </c>
      <c r="O7" s="11">
        <f t="shared" si="2"/>
        <v>1</v>
      </c>
      <c r="R7" s="8"/>
      <c r="S7" s="20">
        <v>0.20100000000000001</v>
      </c>
      <c r="T7" s="20"/>
      <c r="U7" s="20"/>
      <c r="V7" s="20"/>
      <c r="W7" s="20"/>
      <c r="X7" s="27">
        <f>AVERAGE(S7:W7)</f>
        <v>0.20100000000000001</v>
      </c>
      <c r="Y7" s="11" t="e">
        <f>SQRT(VAR(S7:W7))</f>
        <v>#DIV/0!</v>
      </c>
      <c r="Z7" s="11">
        <f>COUNT(S7:W7)</f>
        <v>1</v>
      </c>
    </row>
    <row r="8" spans="1:26">
      <c r="A8" s="8"/>
      <c r="M8" s="5" t="e">
        <f t="shared" si="0"/>
        <v>#DIV/0!</v>
      </c>
      <c r="N8" s="3" t="e">
        <f t="shared" si="1"/>
        <v>#DIV/0!</v>
      </c>
      <c r="O8" s="3">
        <f t="shared" si="2"/>
        <v>0</v>
      </c>
      <c r="R8" s="8"/>
    </row>
    <row r="9" spans="1:26" ht="25.5">
      <c r="A9" s="8"/>
      <c r="B9" s="3" t="s">
        <v>413</v>
      </c>
      <c r="C9" s="3" t="s">
        <v>478</v>
      </c>
      <c r="D9" s="3" t="s">
        <v>424</v>
      </c>
      <c r="E9" s="3" t="s">
        <v>416</v>
      </c>
      <c r="G9" s="3" t="s">
        <v>417</v>
      </c>
      <c r="H9" s="17">
        <v>3.3</v>
      </c>
      <c r="M9" s="5" t="e">
        <f t="shared" si="0"/>
        <v>#DIV/0!</v>
      </c>
      <c r="N9" s="3" t="e">
        <f t="shared" si="1"/>
        <v>#DIV/0!</v>
      </c>
      <c r="O9" s="3">
        <f t="shared" si="2"/>
        <v>0</v>
      </c>
      <c r="R9" s="8"/>
      <c r="X9" s="5" t="e">
        <f>AVERAGE(S9:W9)</f>
        <v>#DIV/0!</v>
      </c>
      <c r="Y9" s="3" t="e">
        <f>SQRT(VAR(S9:W9))</f>
        <v>#DIV/0!</v>
      </c>
      <c r="Z9" s="3">
        <f>COUNT(S9:W9)</f>
        <v>0</v>
      </c>
    </row>
    <row r="10" spans="1:26" ht="25.5">
      <c r="A10" s="8"/>
      <c r="G10" s="11" t="s">
        <v>418</v>
      </c>
      <c r="H10" s="11">
        <v>0.12</v>
      </c>
      <c r="I10" s="20"/>
      <c r="J10" s="20"/>
      <c r="K10" s="20"/>
      <c r="L10" s="20"/>
      <c r="M10" s="27" t="e">
        <f t="shared" si="0"/>
        <v>#DIV/0!</v>
      </c>
      <c r="N10" s="11" t="e">
        <f t="shared" si="1"/>
        <v>#DIV/0!</v>
      </c>
      <c r="O10" s="11">
        <f t="shared" si="2"/>
        <v>0</v>
      </c>
      <c r="R10" s="8"/>
      <c r="S10" s="20"/>
      <c r="T10" s="20"/>
      <c r="U10" s="20"/>
      <c r="V10" s="20"/>
      <c r="W10" s="20"/>
      <c r="X10" s="27" t="e">
        <f>AVERAGE(S10:W10)</f>
        <v>#DIV/0!</v>
      </c>
      <c r="Y10" s="11" t="e">
        <f>SQRT(VAR(S10:W10))</f>
        <v>#DIV/0!</v>
      </c>
      <c r="Z10" s="11">
        <f>COUNT(S10:W10)</f>
        <v>0</v>
      </c>
    </row>
    <row r="11" spans="1:26">
      <c r="A11" s="8"/>
      <c r="M11" s="5" t="e">
        <f t="shared" si="0"/>
        <v>#DIV/0!</v>
      </c>
      <c r="N11" s="3" t="e">
        <f t="shared" si="1"/>
        <v>#DIV/0!</v>
      </c>
      <c r="O11" s="3">
        <f t="shared" si="2"/>
        <v>0</v>
      </c>
      <c r="R11" s="8"/>
      <c r="X11" s="5"/>
    </row>
    <row r="12" spans="1:26" ht="38.25">
      <c r="A12" s="12"/>
      <c r="B12" s="3" t="s">
        <v>413</v>
      </c>
      <c r="C12" s="3" t="s">
        <v>476</v>
      </c>
      <c r="D12" s="3" t="s">
        <v>479</v>
      </c>
      <c r="E12" s="3" t="s">
        <v>416</v>
      </c>
      <c r="G12" s="3" t="s">
        <v>417</v>
      </c>
      <c r="H12" s="17">
        <v>3.3</v>
      </c>
      <c r="M12" s="5" t="e">
        <f t="shared" si="0"/>
        <v>#DIV/0!</v>
      </c>
      <c r="N12" s="3" t="e">
        <f t="shared" si="1"/>
        <v>#DIV/0!</v>
      </c>
      <c r="O12" s="3">
        <f t="shared" si="2"/>
        <v>0</v>
      </c>
      <c r="R12" s="12"/>
      <c r="X12" s="5" t="e">
        <f>AVERAGE(S12:W12)</f>
        <v>#DIV/0!</v>
      </c>
      <c r="Y12" s="3" t="e">
        <f>SQRT(VAR(S12:W12))</f>
        <v>#DIV/0!</v>
      </c>
      <c r="Z12" s="3">
        <f>COUNT(S12:W12)</f>
        <v>0</v>
      </c>
    </row>
    <row r="13" spans="1:26" ht="25.5">
      <c r="A13" s="12"/>
      <c r="G13" s="11" t="s">
        <v>418</v>
      </c>
      <c r="H13" s="11">
        <v>0.12</v>
      </c>
      <c r="I13" s="20"/>
      <c r="J13" s="20"/>
      <c r="K13" s="20"/>
      <c r="L13" s="20"/>
      <c r="M13" s="27" t="e">
        <f t="shared" si="0"/>
        <v>#DIV/0!</v>
      </c>
      <c r="N13" s="11" t="e">
        <f t="shared" si="1"/>
        <v>#DIV/0!</v>
      </c>
      <c r="O13" s="11">
        <f t="shared" si="2"/>
        <v>0</v>
      </c>
      <c r="R13" s="12"/>
      <c r="S13" s="20"/>
      <c r="T13" s="20"/>
      <c r="U13" s="20"/>
      <c r="V13" s="20"/>
      <c r="W13" s="20"/>
      <c r="X13" s="27" t="e">
        <f>AVERAGE(S13:W13)</f>
        <v>#DIV/0!</v>
      </c>
      <c r="Y13" s="11" t="e">
        <f>SQRT(VAR(S13:W13))</f>
        <v>#DIV/0!</v>
      </c>
      <c r="Z13" s="11">
        <f>COUNT(S13:W13)</f>
        <v>0</v>
      </c>
    </row>
    <row r="14" spans="1:26">
      <c r="A14" s="8"/>
      <c r="M14" s="5"/>
      <c r="R14" s="8"/>
      <c r="X14" s="5"/>
    </row>
    <row r="15" spans="1:26" ht="25.5">
      <c r="A15" s="12"/>
      <c r="B15" s="3" t="s">
        <v>413</v>
      </c>
      <c r="C15" s="3" t="s">
        <v>476</v>
      </c>
      <c r="D15" s="3" t="s">
        <v>480</v>
      </c>
      <c r="E15" s="3" t="s">
        <v>416</v>
      </c>
      <c r="G15" s="3" t="s">
        <v>417</v>
      </c>
      <c r="H15" s="17">
        <v>3.3</v>
      </c>
      <c r="M15" s="5" t="e">
        <f>AVERAGE(I15:L15)</f>
        <v>#DIV/0!</v>
      </c>
      <c r="N15" s="3" t="e">
        <f>SQRT(VAR(I15:L15))</f>
        <v>#DIV/0!</v>
      </c>
      <c r="O15" s="3">
        <f>COUNT(I15:L15)</f>
        <v>0</v>
      </c>
      <c r="R15" s="12"/>
      <c r="X15" s="5" t="e">
        <f>AVERAGE(S15:W15)</f>
        <v>#DIV/0!</v>
      </c>
      <c r="Y15" s="3" t="e">
        <f>SQRT(VAR(S15:W15))</f>
        <v>#DIV/0!</v>
      </c>
      <c r="Z15" s="3">
        <f>COUNT(S15:W15)</f>
        <v>0</v>
      </c>
    </row>
    <row r="16" spans="1:26" ht="25.5">
      <c r="A16" s="12"/>
      <c r="G16" s="11" t="s">
        <v>418</v>
      </c>
      <c r="H16" s="11">
        <v>0.12</v>
      </c>
      <c r="I16" s="20"/>
      <c r="J16" s="20"/>
      <c r="K16" s="20"/>
      <c r="L16" s="20"/>
      <c r="M16" s="27" t="e">
        <f>AVERAGE(I16:L16)</f>
        <v>#DIV/0!</v>
      </c>
      <c r="N16" s="11" t="e">
        <f>SQRT(VAR(I16:L16))</f>
        <v>#DIV/0!</v>
      </c>
      <c r="O16" s="11">
        <f>COUNT(I16:L16)</f>
        <v>0</v>
      </c>
      <c r="R16" s="12"/>
      <c r="S16" s="20"/>
      <c r="T16" s="20"/>
      <c r="U16" s="20"/>
      <c r="V16" s="20"/>
      <c r="W16" s="20"/>
      <c r="X16" s="27" t="e">
        <f>AVERAGE(S16:W16)</f>
        <v>#DIV/0!</v>
      </c>
      <c r="Y16" s="11" t="e">
        <f>SQRT(VAR(S16:W16))</f>
        <v>#DIV/0!</v>
      </c>
      <c r="Z16" s="11">
        <f>COUNT(S16:W16)</f>
        <v>0</v>
      </c>
    </row>
    <row r="17" spans="1:26">
      <c r="A17" s="8"/>
      <c r="M17" s="5"/>
      <c r="R17" s="8"/>
      <c r="X17" s="5"/>
    </row>
    <row r="18" spans="1:26" ht="25.5">
      <c r="A18" s="8"/>
      <c r="B18" s="9" t="s">
        <v>50</v>
      </c>
      <c r="C18" s="9"/>
      <c r="D18" s="9" t="s">
        <v>50</v>
      </c>
      <c r="E18" s="9"/>
      <c r="F18" s="9"/>
      <c r="G18" s="13"/>
      <c r="H18" s="13"/>
      <c r="I18" s="16"/>
      <c r="J18" s="16"/>
      <c r="K18" s="16"/>
      <c r="L18" s="16"/>
      <c r="M18" s="26"/>
      <c r="N18" s="13"/>
      <c r="O18" s="13"/>
      <c r="R18" s="8"/>
      <c r="S18" s="16"/>
      <c r="T18" s="16"/>
      <c r="U18" s="16"/>
      <c r="V18" s="16"/>
      <c r="W18" s="16"/>
      <c r="X18" s="26"/>
      <c r="Y18" s="13"/>
      <c r="Z18" s="13"/>
    </row>
    <row r="19" spans="1:26" ht="31.5" customHeight="1">
      <c r="A19" s="8"/>
      <c r="B19" s="3" t="s">
        <v>413</v>
      </c>
      <c r="C19" s="3" t="s">
        <v>476</v>
      </c>
      <c r="D19" s="3" t="s">
        <v>481</v>
      </c>
      <c r="E19" s="3" t="s">
        <v>429</v>
      </c>
      <c r="F19" s="3" t="s">
        <v>69</v>
      </c>
      <c r="G19" s="3" t="s">
        <v>417</v>
      </c>
      <c r="H19" s="17">
        <v>3.3</v>
      </c>
      <c r="I19" s="2">
        <f>DL_OH!S57*7.63</f>
        <v>7.7739622641509429</v>
      </c>
      <c r="J19" s="2">
        <f>DL_OH!S67*7.5585</f>
        <v>7.6291401869158877</v>
      </c>
      <c r="M19" s="5">
        <f>AVERAGE(I19:L19)</f>
        <v>7.7015512255334153</v>
      </c>
      <c r="N19" s="3">
        <f>SQRT(VAR(I19:L19))</f>
        <v>0.1024046728784295</v>
      </c>
      <c r="O19" s="3">
        <f>COUNT(I19:L19)</f>
        <v>2</v>
      </c>
      <c r="R19" s="8"/>
      <c r="S19" s="2">
        <f>DL_OH!S57*7.641</f>
        <v>7.7851698113207544</v>
      </c>
      <c r="V19" s="2">
        <f>DL_OH!S61*8.65</f>
        <v>8.4867924528301906</v>
      </c>
      <c r="X19" s="5">
        <f>AVERAGE(S19:W19)</f>
        <v>8.1359811320754716</v>
      </c>
      <c r="Y19" s="3">
        <f>SQRT(VAR(S19:W19))</f>
        <v>0.49612212764534042</v>
      </c>
      <c r="Z19" s="3">
        <f>COUNT(S19:W19)</f>
        <v>2</v>
      </c>
    </row>
    <row r="20" spans="1:26" ht="25.5">
      <c r="A20" s="8"/>
      <c r="G20" s="11" t="s">
        <v>418</v>
      </c>
      <c r="H20" s="11">
        <v>0.12</v>
      </c>
      <c r="I20" s="20">
        <f>DL_OH!S57*0.209</f>
        <v>0.21294339622641509</v>
      </c>
      <c r="J20" s="20">
        <f>DL_OH!S67*0.1824</f>
        <v>0.18410467289719626</v>
      </c>
      <c r="K20" s="20"/>
      <c r="L20" s="20"/>
      <c r="M20" s="27">
        <f>AVERAGE(I20:L20)</f>
        <v>0.19852403456180567</v>
      </c>
      <c r="N20" s="11">
        <f>SQRT(VAR(I20:L20))</f>
        <v>2.0392056826853324E-2</v>
      </c>
      <c r="O20" s="11">
        <f>COUNT(I20:L20)</f>
        <v>2</v>
      </c>
      <c r="R20" s="8"/>
      <c r="S20" s="20">
        <f>DL_OH!S57*0.178</f>
        <v>0.18135849056603773</v>
      </c>
      <c r="T20" s="20"/>
      <c r="U20" s="20"/>
      <c r="V20" s="20">
        <f>DL_OH!S61*0.32</f>
        <v>0.31396226415094347</v>
      </c>
      <c r="W20" s="20"/>
      <c r="X20" s="27">
        <f>AVERAGE(S20:W20)</f>
        <v>0.24766037735849061</v>
      </c>
      <c r="Y20" s="11">
        <f>SQRT(VAR(S20:W20))</f>
        <v>9.3765027512812321E-2</v>
      </c>
      <c r="Z20" s="11">
        <f>COUNT(S20:W20)</f>
        <v>2</v>
      </c>
    </row>
    <row r="21" spans="1:26">
      <c r="A21" s="8"/>
      <c r="M21" s="5"/>
      <c r="R21" s="8"/>
      <c r="X21" s="5"/>
    </row>
    <row r="22" spans="1:26" ht="31.5" customHeight="1">
      <c r="A22" s="8"/>
      <c r="B22" s="3" t="s">
        <v>413</v>
      </c>
      <c r="C22" s="3" t="s">
        <v>476</v>
      </c>
      <c r="D22" s="3" t="s">
        <v>481</v>
      </c>
      <c r="E22" s="3" t="s">
        <v>416</v>
      </c>
      <c r="F22" s="3" t="s">
        <v>69</v>
      </c>
      <c r="G22" s="3" t="s">
        <v>417</v>
      </c>
      <c r="H22" s="17">
        <v>3.3</v>
      </c>
      <c r="I22" s="2">
        <f>DL_OH!S41*7.857</f>
        <v>8.0052452830188674</v>
      </c>
      <c r="M22" s="5">
        <f>AVERAGE(I22:L22)</f>
        <v>8.0052452830188674</v>
      </c>
      <c r="N22" s="3" t="e">
        <f>SQRT(VAR(I22:L22))</f>
        <v>#DIV/0!</v>
      </c>
      <c r="O22" s="3">
        <f>COUNT(I22:L22)</f>
        <v>1</v>
      </c>
      <c r="R22" s="8"/>
      <c r="S22" s="2">
        <f>DL_OH!S41*7.869</f>
        <v>8.0174716981132068</v>
      </c>
      <c r="X22" s="5">
        <f>AVERAGE(S22:W22)</f>
        <v>8.0174716981132068</v>
      </c>
      <c r="Y22" s="3" t="e">
        <f>SQRT(VAR(S22:W22))</f>
        <v>#DIV/0!</v>
      </c>
      <c r="Z22" s="3">
        <f>COUNT(S22:W22)</f>
        <v>1</v>
      </c>
    </row>
    <row r="23" spans="1:26" ht="25.5">
      <c r="A23" s="8"/>
      <c r="G23" s="11" t="s">
        <v>418</v>
      </c>
      <c r="H23" s="11">
        <v>0.12</v>
      </c>
      <c r="I23" s="20">
        <f>DL_OH!S41*0.192</f>
        <v>0.19562264150943395</v>
      </c>
      <c r="J23" s="20"/>
      <c r="K23" s="20"/>
      <c r="L23" s="20"/>
      <c r="M23" s="27">
        <f>AVERAGE(I23:L23)</f>
        <v>0.19562264150943395</v>
      </c>
      <c r="N23" s="11" t="e">
        <f>SQRT(VAR(I23:L23))</f>
        <v>#DIV/0!</v>
      </c>
      <c r="O23" s="11">
        <f>COUNT(I23:L23)</f>
        <v>1</v>
      </c>
      <c r="R23" s="8"/>
      <c r="S23" s="20">
        <f>DL_OH!S41*0.192</f>
        <v>0.19562264150943395</v>
      </c>
      <c r="T23" s="20"/>
      <c r="U23" s="20"/>
      <c r="V23" s="20"/>
      <c r="W23" s="20"/>
      <c r="X23" s="27">
        <f>AVERAGE(S23:W23)</f>
        <v>0.19562264150943395</v>
      </c>
      <c r="Y23" s="11" t="e">
        <f>SQRT(VAR(S23:W23))</f>
        <v>#DIV/0!</v>
      </c>
      <c r="Z23" s="11">
        <f>COUNT(S23:W23)</f>
        <v>1</v>
      </c>
    </row>
    <row r="24" spans="1:26">
      <c r="A24" s="8"/>
      <c r="M24" s="5"/>
      <c r="R24" s="8"/>
      <c r="X24" s="5"/>
    </row>
    <row r="25" spans="1:26" ht="31.5" customHeight="1">
      <c r="A25" s="8"/>
      <c r="B25" s="3" t="s">
        <v>413</v>
      </c>
      <c r="C25" s="3" t="s">
        <v>477</v>
      </c>
      <c r="D25" s="3" t="s">
        <v>459</v>
      </c>
      <c r="E25" s="3" t="s">
        <v>429</v>
      </c>
      <c r="F25" s="3" t="s">
        <v>69</v>
      </c>
      <c r="G25" s="3" t="s">
        <v>417</v>
      </c>
      <c r="H25" s="17">
        <v>3.3</v>
      </c>
      <c r="I25" s="2">
        <f>DL_OH!S58*8.447</f>
        <v>8.6063773584905654</v>
      </c>
      <c r="M25" s="5">
        <f>AVERAGE(I25:L25)</f>
        <v>8.6063773584905654</v>
      </c>
      <c r="N25" s="3" t="e">
        <f>SQRT(VAR(I25:L25))</f>
        <v>#DIV/0!</v>
      </c>
      <c r="O25" s="3">
        <f>COUNT(I25:L25)</f>
        <v>1</v>
      </c>
      <c r="R25" s="8"/>
      <c r="S25" s="2">
        <f>DL_OH!S58*8.429</f>
        <v>8.5880377358490563</v>
      </c>
      <c r="X25" s="5">
        <f>AVERAGE(S25:W25)</f>
        <v>8.5880377358490563</v>
      </c>
      <c r="Y25" s="3" t="e">
        <f>SQRT(VAR(S25:W25))</f>
        <v>#DIV/0!</v>
      </c>
      <c r="Z25" s="3">
        <f>COUNT(S25:W25)</f>
        <v>1</v>
      </c>
    </row>
    <row r="26" spans="1:26" ht="25.5">
      <c r="A26" s="8"/>
      <c r="G26" s="11" t="s">
        <v>418</v>
      </c>
      <c r="H26" s="11">
        <v>0.12</v>
      </c>
      <c r="I26" s="20">
        <f>DL_OH!S58*0.195</f>
        <v>0.19867924528301886</v>
      </c>
      <c r="J26" s="20"/>
      <c r="K26" s="20"/>
      <c r="L26" s="20"/>
      <c r="M26" s="27">
        <f>AVERAGE(I26:L26)</f>
        <v>0.19867924528301886</v>
      </c>
      <c r="N26" s="11" t="e">
        <f>SQRT(VAR(I26:L26))</f>
        <v>#DIV/0!</v>
      </c>
      <c r="O26" s="11">
        <f>COUNT(I26:L26)</f>
        <v>1</v>
      </c>
      <c r="R26" s="8"/>
      <c r="S26" s="20">
        <f>DL_OH!S58*0.19</f>
        <v>0.19358490566037737</v>
      </c>
      <c r="T26" s="20"/>
      <c r="U26" s="20"/>
      <c r="V26" s="20"/>
      <c r="W26" s="20"/>
      <c r="X26" s="27">
        <f>AVERAGE(S26:W26)</f>
        <v>0.19358490566037737</v>
      </c>
      <c r="Y26" s="11" t="e">
        <f>SQRT(VAR(S26:W26))</f>
        <v>#DIV/0!</v>
      </c>
      <c r="Z26" s="11">
        <f>COUNT(S26:W26)</f>
        <v>1</v>
      </c>
    </row>
    <row r="27" spans="1:26">
      <c r="A27" s="8"/>
      <c r="M27" s="5"/>
      <c r="R27" s="8"/>
      <c r="X27" s="5"/>
    </row>
    <row r="28" spans="1:26" ht="31.5" customHeight="1">
      <c r="A28" s="8"/>
      <c r="B28" s="3" t="s">
        <v>413</v>
      </c>
      <c r="C28" s="3" t="s">
        <v>477</v>
      </c>
      <c r="D28" s="3" t="s">
        <v>459</v>
      </c>
      <c r="E28" s="3" t="s">
        <v>416</v>
      </c>
      <c r="F28" s="3" t="s">
        <v>69</v>
      </c>
      <c r="G28" s="3" t="s">
        <v>417</v>
      </c>
      <c r="H28" s="17">
        <v>3.3</v>
      </c>
      <c r="I28" s="2">
        <f>DL_OH!S42*8.669</f>
        <v>8.8325660377358517</v>
      </c>
      <c r="M28" s="5">
        <f>AVERAGE(I28:L28)</f>
        <v>8.8325660377358517</v>
      </c>
      <c r="N28" s="3" t="e">
        <f>SQRT(VAR(I28:L28))</f>
        <v>#DIV/0!</v>
      </c>
      <c r="O28" s="3">
        <f>COUNT(I28:L28)</f>
        <v>1</v>
      </c>
      <c r="R28" s="8"/>
      <c r="S28" s="2">
        <f>DL_OH!S42*8.653</f>
        <v>8.8162641509433985</v>
      </c>
      <c r="X28" s="5">
        <f>AVERAGE(S28:W28)</f>
        <v>8.8162641509433985</v>
      </c>
      <c r="Y28" s="3" t="e">
        <f>SQRT(VAR(S28:W28))</f>
        <v>#DIV/0!</v>
      </c>
      <c r="Z28" s="3">
        <f>COUNT(S28:W28)</f>
        <v>1</v>
      </c>
    </row>
    <row r="29" spans="1:26" ht="25.5">
      <c r="A29" s="8"/>
      <c r="G29" s="11" t="s">
        <v>418</v>
      </c>
      <c r="H29" s="11">
        <v>0.12</v>
      </c>
      <c r="I29" s="20">
        <f>DL_OH!S42*0.215</f>
        <v>0.21905660377358496</v>
      </c>
      <c r="J29" s="20"/>
      <c r="K29" s="20"/>
      <c r="L29" s="20"/>
      <c r="M29" s="27">
        <f>AVERAGE(I29:L29)</f>
        <v>0.21905660377358496</v>
      </c>
      <c r="N29" s="11" t="e">
        <f>SQRT(VAR(I29:L29))</f>
        <v>#DIV/0!</v>
      </c>
      <c r="O29" s="11">
        <f>COUNT(I29:L29)</f>
        <v>1</v>
      </c>
      <c r="R29" s="8"/>
      <c r="S29" s="20">
        <f>DL_OH!S42*0.211</f>
        <v>0.21498113207547173</v>
      </c>
      <c r="T29" s="20"/>
      <c r="U29" s="20"/>
      <c r="V29" s="20"/>
      <c r="W29" s="20"/>
      <c r="X29" s="27">
        <f>AVERAGE(S29:W29)</f>
        <v>0.21498113207547173</v>
      </c>
      <c r="Y29" s="11" t="e">
        <f>SQRT(VAR(S29:W29))</f>
        <v>#DIV/0!</v>
      </c>
      <c r="Z29" s="11">
        <f>COUNT(S29:W29)</f>
        <v>1</v>
      </c>
    </row>
    <row r="30" spans="1:26">
      <c r="A30" s="8"/>
      <c r="M30" s="5"/>
      <c r="R30" s="8"/>
    </row>
    <row r="31" spans="1:26" ht="25.5">
      <c r="A31" s="8"/>
      <c r="B31" s="3" t="s">
        <v>413</v>
      </c>
      <c r="C31" s="3" t="s">
        <v>478</v>
      </c>
      <c r="D31" s="3" t="s">
        <v>482</v>
      </c>
      <c r="E31" s="3" t="s">
        <v>416</v>
      </c>
      <c r="F31" s="3" t="s">
        <v>70</v>
      </c>
      <c r="G31" s="3" t="s">
        <v>417</v>
      </c>
      <c r="H31" s="17">
        <v>3.3</v>
      </c>
      <c r="M31" s="5" t="e">
        <f>AVERAGE(I31:L31)</f>
        <v>#DIV/0!</v>
      </c>
      <c r="N31" s="3" t="e">
        <f>SQRT(VAR(I31:L31))</f>
        <v>#DIV/0!</v>
      </c>
      <c r="O31" s="3">
        <f>COUNT(I31:L31)</f>
        <v>0</v>
      </c>
      <c r="R31" s="8"/>
      <c r="X31" s="5" t="e">
        <f>AVERAGE(S31:W31)</f>
        <v>#DIV/0!</v>
      </c>
      <c r="Y31" s="3" t="e">
        <f>SQRT(VAR(S31:W31))</f>
        <v>#DIV/0!</v>
      </c>
      <c r="Z31" s="3">
        <f>COUNT(S31:W31)</f>
        <v>0</v>
      </c>
    </row>
    <row r="32" spans="1:26" ht="25.5">
      <c r="A32" s="8"/>
      <c r="G32" s="11" t="s">
        <v>418</v>
      </c>
      <c r="H32" s="11">
        <v>0.12</v>
      </c>
      <c r="I32" s="20"/>
      <c r="J32" s="20"/>
      <c r="K32" s="20"/>
      <c r="L32" s="20"/>
      <c r="M32" s="27" t="e">
        <f>AVERAGE(I32:L32)</f>
        <v>#DIV/0!</v>
      </c>
      <c r="N32" s="11" t="e">
        <f>SQRT(VAR(I32:L32))</f>
        <v>#DIV/0!</v>
      </c>
      <c r="O32" s="11">
        <f>COUNT(I32:L32)</f>
        <v>0</v>
      </c>
      <c r="R32" s="8"/>
      <c r="S32" s="20"/>
      <c r="T32" s="20"/>
      <c r="U32" s="20"/>
      <c r="V32" s="20"/>
      <c r="W32" s="20"/>
      <c r="X32" s="27" t="e">
        <f>AVERAGE(S32:W32)</f>
        <v>#DIV/0!</v>
      </c>
      <c r="Y32" s="11" t="e">
        <f>SQRT(VAR(S32:W32))</f>
        <v>#DIV/0!</v>
      </c>
      <c r="Z32" s="11">
        <f>COUNT(S32:W32)</f>
        <v>0</v>
      </c>
    </row>
    <row r="33" spans="1:26">
      <c r="A33" s="8"/>
      <c r="M33" s="5"/>
      <c r="R33" s="8"/>
      <c r="X33" s="5"/>
    </row>
    <row r="34" spans="1:26" ht="38.25">
      <c r="A34" s="8"/>
      <c r="B34" s="3" t="s">
        <v>413</v>
      </c>
      <c r="C34" s="3" t="s">
        <v>454</v>
      </c>
      <c r="D34" s="29" t="s">
        <v>483</v>
      </c>
      <c r="E34" s="3" t="s">
        <v>416</v>
      </c>
      <c r="F34" s="189" t="s">
        <v>499</v>
      </c>
      <c r="G34" s="3" t="s">
        <v>417</v>
      </c>
      <c r="H34" s="17">
        <v>3.3</v>
      </c>
      <c r="M34" s="5" t="e">
        <f t="shared" ref="M34:M40" si="3">AVERAGE(I34:L34)</f>
        <v>#DIV/0!</v>
      </c>
      <c r="N34" s="3" t="e">
        <f>SQRT(VAR(I34:L34))</f>
        <v>#DIV/0!</v>
      </c>
      <c r="O34" s="3">
        <f>COUNT(I34:L34)</f>
        <v>0</v>
      </c>
      <c r="R34" s="8"/>
      <c r="X34" s="5" t="e">
        <f>AVERAGE(S34:W34)</f>
        <v>#DIV/0!</v>
      </c>
      <c r="Y34" s="3" t="e">
        <f>SQRT(VAR(S34:W34))</f>
        <v>#DIV/0!</v>
      </c>
      <c r="Z34" s="3">
        <f>COUNT(S34:W34)</f>
        <v>0</v>
      </c>
    </row>
    <row r="35" spans="1:26" ht="25.5">
      <c r="A35" s="8"/>
      <c r="G35" s="11" t="s">
        <v>418</v>
      </c>
      <c r="H35" s="11">
        <v>0.12</v>
      </c>
      <c r="I35" s="20"/>
      <c r="J35" s="20"/>
      <c r="K35" s="20"/>
      <c r="L35" s="20"/>
      <c r="M35" s="27" t="e">
        <f t="shared" si="3"/>
        <v>#DIV/0!</v>
      </c>
      <c r="N35" s="11" t="e">
        <f>SQRT(VAR(I35:L35))</f>
        <v>#DIV/0!</v>
      </c>
      <c r="O35" s="11">
        <f>COUNT(I35:L35)</f>
        <v>0</v>
      </c>
      <c r="R35" s="8"/>
      <c r="S35" s="20"/>
      <c r="T35" s="20"/>
      <c r="U35" s="20"/>
      <c r="V35" s="20"/>
      <c r="W35" s="20"/>
      <c r="X35" s="27" t="e">
        <f>AVERAGE(S35:W35)</f>
        <v>#DIV/0!</v>
      </c>
      <c r="Y35" s="11" t="e">
        <f>SQRT(VAR(S35:W35))</f>
        <v>#DIV/0!</v>
      </c>
      <c r="Z35" s="11">
        <f>COUNT(S35:W35)</f>
        <v>0</v>
      </c>
    </row>
    <row r="36" spans="1:26" ht="31.5" customHeight="1">
      <c r="A36" s="8"/>
      <c r="B36" s="3" t="s">
        <v>413</v>
      </c>
      <c r="C36" s="3" t="s">
        <v>476</v>
      </c>
      <c r="D36" s="3" t="s">
        <v>481</v>
      </c>
      <c r="E36" s="3" t="s">
        <v>416</v>
      </c>
      <c r="F36" s="3" t="s">
        <v>70</v>
      </c>
      <c r="G36" s="3" t="s">
        <v>417</v>
      </c>
      <c r="H36" s="17">
        <v>3.3</v>
      </c>
      <c r="K36" s="2">
        <f>DL_OH!S36*8.75</f>
        <v>8.6419753086419746</v>
      </c>
      <c r="M36" s="5">
        <f t="shared" si="3"/>
        <v>8.6419753086419746</v>
      </c>
      <c r="N36" s="3" t="e">
        <v>#DIV/0!</v>
      </c>
      <c r="O36" s="3">
        <v>1</v>
      </c>
      <c r="R36" s="8"/>
      <c r="U36" s="2">
        <f>DL_OH!S36*8.87</f>
        <v>8.7604938271604933</v>
      </c>
      <c r="X36" s="5">
        <v>8.6999999999999993</v>
      </c>
      <c r="Y36" s="3" t="e">
        <v>#DIV/0!</v>
      </c>
      <c r="Z36" s="3">
        <v>1</v>
      </c>
    </row>
    <row r="37" spans="1:26" ht="25.5">
      <c r="A37" s="8"/>
      <c r="G37" s="11" t="s">
        <v>418</v>
      </c>
      <c r="H37" s="11">
        <v>0.12</v>
      </c>
      <c r="I37" s="20"/>
      <c r="J37" s="20"/>
      <c r="K37" s="20">
        <f>DL_OH!S36*0.28</f>
        <v>0.27654320987654324</v>
      </c>
      <c r="L37" s="20"/>
      <c r="M37" s="27">
        <f t="shared" si="3"/>
        <v>0.27654320987654324</v>
      </c>
      <c r="N37" s="11" t="e">
        <v>#DIV/0!</v>
      </c>
      <c r="O37" s="11">
        <v>1</v>
      </c>
      <c r="R37" s="8"/>
      <c r="S37" s="20"/>
      <c r="T37" s="20"/>
      <c r="U37" s="20">
        <f>DL_OH!S36*0.235</f>
        <v>0.23209876543209873</v>
      </c>
      <c r="V37" s="20"/>
      <c r="W37" s="20"/>
      <c r="X37" s="27">
        <v>0.23</v>
      </c>
      <c r="Y37" s="11" t="e">
        <v>#DIV/0!</v>
      </c>
      <c r="Z37" s="11">
        <v>1</v>
      </c>
    </row>
    <row r="38" spans="1:26">
      <c r="A38" s="12"/>
      <c r="M38" s="5" t="e">
        <f t="shared" si="3"/>
        <v>#DIV/0!</v>
      </c>
      <c r="N38" s="3" t="e">
        <f>SQRT(VAR(I38:L38))</f>
        <v>#DIV/0!</v>
      </c>
      <c r="O38" s="3">
        <f>COUNT(I38:L38)</f>
        <v>0</v>
      </c>
      <c r="R38" s="12"/>
      <c r="X38" s="5"/>
    </row>
    <row r="39" spans="1:26" ht="31.5" customHeight="1">
      <c r="A39" s="8"/>
      <c r="B39" s="3" t="s">
        <v>413</v>
      </c>
      <c r="C39" s="29" t="s">
        <v>414</v>
      </c>
      <c r="D39" s="3" t="s">
        <v>484</v>
      </c>
      <c r="E39" s="29" t="s">
        <v>429</v>
      </c>
      <c r="F39" s="3" t="s">
        <v>70</v>
      </c>
      <c r="G39" s="3" t="s">
        <v>417</v>
      </c>
      <c r="H39" s="17">
        <v>3.3</v>
      </c>
      <c r="L39" s="2">
        <f>DL_OH!S51*8.59</f>
        <v>8.3445714285714292</v>
      </c>
      <c r="M39" s="5">
        <f t="shared" si="3"/>
        <v>8.3445714285714292</v>
      </c>
      <c r="N39" s="3" t="e">
        <v>#DIV/0!</v>
      </c>
      <c r="O39" s="3">
        <v>1</v>
      </c>
      <c r="R39" s="8"/>
      <c r="V39" s="2">
        <f>DL_OH!S51*8.63</f>
        <v>8.3834285714285723</v>
      </c>
      <c r="X39" s="5">
        <v>8.6999999999999993</v>
      </c>
      <c r="Y39" s="3" t="e">
        <v>#DIV/0!</v>
      </c>
      <c r="Z39" s="3">
        <v>1</v>
      </c>
    </row>
    <row r="40" spans="1:26" ht="25.5">
      <c r="A40" s="8"/>
      <c r="G40" s="11" t="s">
        <v>418</v>
      </c>
      <c r="H40" s="11">
        <v>0.12</v>
      </c>
      <c r="I40" s="20"/>
      <c r="J40" s="20"/>
      <c r="K40" s="20"/>
      <c r="L40" s="20">
        <f>DL_OH!S51*0.29</f>
        <v>0.28171428571428569</v>
      </c>
      <c r="M40" s="27">
        <f t="shared" si="3"/>
        <v>0.28171428571428569</v>
      </c>
      <c r="N40" s="11" t="e">
        <v>#DIV/0!</v>
      </c>
      <c r="O40" s="11">
        <v>1</v>
      </c>
      <c r="R40" s="8"/>
      <c r="S40" s="20"/>
      <c r="T40" s="20"/>
      <c r="U40" s="20"/>
      <c r="V40" s="20">
        <f>DL_OH!S51*0.32</f>
        <v>0.31085714285714289</v>
      </c>
      <c r="W40" s="20"/>
      <c r="X40" s="27">
        <v>0.23</v>
      </c>
      <c r="Y40" s="11" t="e">
        <v>#DIV/0!</v>
      </c>
      <c r="Z40" s="11">
        <v>1</v>
      </c>
    </row>
    <row r="41" spans="1:26">
      <c r="A41" s="8"/>
      <c r="M41" s="5"/>
      <c r="R41" s="4"/>
      <c r="X41" s="5"/>
    </row>
    <row r="42" spans="1:26" ht="31.5" customHeight="1">
      <c r="A42" s="8"/>
      <c r="B42" s="3" t="s">
        <v>413</v>
      </c>
      <c r="C42" s="3" t="s">
        <v>478</v>
      </c>
      <c r="D42" s="3" t="s">
        <v>459</v>
      </c>
      <c r="E42" s="3" t="s">
        <v>416</v>
      </c>
      <c r="F42" s="3" t="s">
        <v>70</v>
      </c>
      <c r="G42" s="3" t="s">
        <v>417</v>
      </c>
      <c r="H42" s="17">
        <v>3.3</v>
      </c>
      <c r="M42" s="5" t="e">
        <f>AVERAGE(I42:L42)</f>
        <v>#DIV/0!</v>
      </c>
      <c r="N42" s="3" t="e">
        <v>#DIV/0!</v>
      </c>
      <c r="O42" s="3">
        <v>1</v>
      </c>
      <c r="R42" s="8"/>
      <c r="X42" s="5">
        <v>8.6999999999999993</v>
      </c>
      <c r="Y42" s="3" t="e">
        <v>#DIV/0!</v>
      </c>
      <c r="Z42" s="3">
        <v>1</v>
      </c>
    </row>
    <row r="43" spans="1:26" ht="25.5">
      <c r="A43" s="8"/>
      <c r="G43" s="11" t="s">
        <v>418</v>
      </c>
      <c r="H43" s="11">
        <v>0.12</v>
      </c>
      <c r="I43" s="20"/>
      <c r="J43" s="20"/>
      <c r="K43" s="20"/>
      <c r="L43" s="20"/>
      <c r="M43" s="27" t="e">
        <f>AVERAGE(I43:L43)</f>
        <v>#DIV/0!</v>
      </c>
      <c r="N43" s="11" t="e">
        <v>#DIV/0!</v>
      </c>
      <c r="O43" s="11">
        <v>1</v>
      </c>
      <c r="R43" s="8"/>
      <c r="S43" s="20"/>
      <c r="T43" s="20"/>
      <c r="U43" s="20"/>
      <c r="V43" s="20"/>
      <c r="W43" s="20"/>
      <c r="X43" s="27">
        <v>0.23</v>
      </c>
      <c r="Y43" s="11" t="e">
        <v>#DIV/0!</v>
      </c>
      <c r="Z43" s="11">
        <v>1</v>
      </c>
    </row>
    <row r="44" spans="1:26">
      <c r="J44" s="209"/>
      <c r="M44" s="5"/>
      <c r="X44" s="5"/>
    </row>
    <row r="45" spans="1:26" ht="25.5">
      <c r="A45" s="244" t="s">
        <v>432</v>
      </c>
      <c r="B45" s="9" t="s">
        <v>49</v>
      </c>
      <c r="C45" s="9"/>
      <c r="D45" s="9" t="s">
        <v>49</v>
      </c>
      <c r="E45" s="9"/>
      <c r="F45" s="9"/>
      <c r="G45" s="13"/>
      <c r="H45" s="13"/>
      <c r="I45" s="16"/>
      <c r="J45" s="210"/>
      <c r="K45" s="16"/>
      <c r="L45" s="16"/>
      <c r="M45" s="26"/>
      <c r="N45" s="13"/>
      <c r="O45" s="13"/>
      <c r="R45" s="244" t="s">
        <v>432</v>
      </c>
      <c r="S45" s="16"/>
      <c r="T45" s="16"/>
      <c r="U45" s="16"/>
      <c r="V45" s="16"/>
      <c r="W45" s="16"/>
      <c r="X45" s="26"/>
      <c r="Y45" s="13"/>
      <c r="Z45" s="13"/>
    </row>
    <row r="46" spans="1:26" ht="25.5">
      <c r="A46" s="244"/>
      <c r="B46" s="3" t="s">
        <v>413</v>
      </c>
      <c r="C46" s="3" t="s">
        <v>476</v>
      </c>
      <c r="D46" s="3" t="s">
        <v>435</v>
      </c>
      <c r="E46" s="3" t="s">
        <v>416</v>
      </c>
      <c r="G46" s="3" t="s">
        <v>417</v>
      </c>
      <c r="H46" s="17">
        <v>1.6</v>
      </c>
      <c r="I46" s="2">
        <f>UL_OH!R9*4.038</f>
        <v>4.1437025162337662</v>
      </c>
      <c r="J46" s="209">
        <v>3.7589999999999999</v>
      </c>
      <c r="M46" s="5">
        <f>AVERAGE(I46:L46)</f>
        <v>3.9513512581168833</v>
      </c>
      <c r="N46" s="3">
        <f>SQRT(VAR(I46:L46))</f>
        <v>0.27202575796842404</v>
      </c>
      <c r="O46" s="3">
        <f>COUNT(I46:L46)</f>
        <v>2</v>
      </c>
      <c r="R46" s="244"/>
      <c r="S46" s="2">
        <f>UL_OH!R9*3.999</f>
        <v>4.10368161525974</v>
      </c>
      <c r="X46" s="5">
        <f>AVERAGE(S46:W46)</f>
        <v>4.10368161525974</v>
      </c>
      <c r="Y46" s="3" t="e">
        <f>SQRT(VAR(S46:W46))</f>
        <v>#DIV/0!</v>
      </c>
      <c r="Z46" s="3">
        <f>COUNT(S46:W46)</f>
        <v>1</v>
      </c>
    </row>
    <row r="47" spans="1:26" ht="25.5">
      <c r="A47" s="244"/>
      <c r="G47" s="11" t="s">
        <v>418</v>
      </c>
      <c r="H47" s="11">
        <v>4.4999999999999998E-2</v>
      </c>
      <c r="I47" s="20">
        <f>UL_OH!R9*0.081</f>
        <v>8.3120332792207791E-2</v>
      </c>
      <c r="J47" s="208">
        <v>9.5600000000000004E-2</v>
      </c>
      <c r="K47" s="20"/>
      <c r="L47" s="20"/>
      <c r="M47" s="27">
        <f>AVERAGE(I47:L47)</f>
        <v>8.9360166396103891E-2</v>
      </c>
      <c r="N47" s="11">
        <f>SQRT(VAR(I47:L47))</f>
        <v>8.8244573095812625E-3</v>
      </c>
      <c r="O47" s="11">
        <f>COUNT(I47:L47)</f>
        <v>2</v>
      </c>
      <c r="R47" s="244"/>
      <c r="S47" s="20">
        <f>UL_OH!R9*0.073</f>
        <v>7.4910917207792208E-2</v>
      </c>
      <c r="T47" s="20"/>
      <c r="U47" s="20"/>
      <c r="V47" s="20"/>
      <c r="W47" s="20"/>
      <c r="X47" s="27">
        <f>AVERAGE(S47:W47)</f>
        <v>7.4910917207792208E-2</v>
      </c>
      <c r="Y47" s="11" t="e">
        <f>SQRT(VAR(S47:W47))</f>
        <v>#DIV/0!</v>
      </c>
      <c r="Z47" s="11">
        <f>COUNT(S47:W47)</f>
        <v>1</v>
      </c>
    </row>
    <row r="48" spans="1:26">
      <c r="A48" s="244"/>
      <c r="J48" s="209"/>
      <c r="M48" s="5"/>
      <c r="R48" s="244"/>
      <c r="X48" s="5"/>
    </row>
    <row r="49" spans="1:26">
      <c r="A49" s="244"/>
      <c r="M49" s="5"/>
      <c r="R49" s="244"/>
      <c r="X49" s="5"/>
    </row>
    <row r="50" spans="1:26" ht="25.5">
      <c r="A50" s="244"/>
      <c r="B50" s="3" t="s">
        <v>413</v>
      </c>
      <c r="C50" s="3" t="s">
        <v>476</v>
      </c>
      <c r="D50" s="3" t="s">
        <v>433</v>
      </c>
      <c r="E50" s="3" t="s">
        <v>416</v>
      </c>
      <c r="G50" s="3" t="s">
        <v>417</v>
      </c>
      <c r="H50" s="17">
        <v>1.6</v>
      </c>
      <c r="M50" s="5" t="e">
        <f>AVERAGE(I50:L50)</f>
        <v>#DIV/0!</v>
      </c>
      <c r="N50" s="3" t="e">
        <f>SQRT(VAR(I50:L50))</f>
        <v>#DIV/0!</v>
      </c>
      <c r="O50" s="3">
        <f>COUNT(I50:L50)</f>
        <v>0</v>
      </c>
      <c r="R50" s="244"/>
      <c r="X50" s="5" t="e">
        <f>AVERAGE(S50:W50)</f>
        <v>#DIV/0!</v>
      </c>
      <c r="Y50" s="3" t="e">
        <f>SQRT(VAR(S50:W50))</f>
        <v>#DIV/0!</v>
      </c>
      <c r="Z50" s="3">
        <f>COUNT(S50:W50)</f>
        <v>0</v>
      </c>
    </row>
    <row r="51" spans="1:26" ht="25.5">
      <c r="A51" s="244"/>
      <c r="G51" s="11" t="s">
        <v>418</v>
      </c>
      <c r="H51" s="11">
        <v>4.4999999999999998E-2</v>
      </c>
      <c r="I51" s="20"/>
      <c r="J51" s="20"/>
      <c r="K51" s="20"/>
      <c r="L51" s="20"/>
      <c r="M51" s="27" t="e">
        <f>AVERAGE(I51:L51)</f>
        <v>#DIV/0!</v>
      </c>
      <c r="N51" s="11" t="e">
        <f>SQRT(VAR(I51:L51))</f>
        <v>#DIV/0!</v>
      </c>
      <c r="O51" s="11">
        <f>COUNT(I51:L51)</f>
        <v>0</v>
      </c>
      <c r="R51" s="244"/>
      <c r="S51" s="20"/>
      <c r="T51" s="20"/>
      <c r="U51" s="20"/>
      <c r="V51" s="20"/>
      <c r="W51" s="20"/>
      <c r="X51" s="27" t="e">
        <f>AVERAGE(S51:W51)</f>
        <v>#DIV/0!</v>
      </c>
      <c r="Y51" s="11" t="e">
        <f>SQRT(VAR(S51:W51))</f>
        <v>#DIV/0!</v>
      </c>
      <c r="Z51" s="11">
        <f>COUNT(S51:W51)</f>
        <v>0</v>
      </c>
    </row>
    <row r="52" spans="1:26">
      <c r="A52" s="244"/>
      <c r="M52" s="5"/>
      <c r="R52" s="244"/>
      <c r="X52" s="5"/>
    </row>
    <row r="53" spans="1:26" ht="25.5">
      <c r="A53" s="244"/>
      <c r="B53" s="3" t="s">
        <v>413</v>
      </c>
      <c r="C53" s="3" t="s">
        <v>476</v>
      </c>
      <c r="D53" s="3" t="s">
        <v>485</v>
      </c>
      <c r="E53" s="3" t="s">
        <v>416</v>
      </c>
      <c r="G53" s="3" t="s">
        <v>417</v>
      </c>
      <c r="H53" s="17">
        <v>1.6</v>
      </c>
      <c r="I53" s="2">
        <f>UL_OH!R9*4.685</f>
        <v>4.8076390016233761</v>
      </c>
      <c r="M53" s="5">
        <f>AVERAGE(I53:L53)</f>
        <v>4.8076390016233761</v>
      </c>
      <c r="N53" s="3" t="e">
        <f>SQRT(VAR(I53:L53))</f>
        <v>#DIV/0!</v>
      </c>
      <c r="O53" s="3">
        <f>COUNT(I53:L53)</f>
        <v>1</v>
      </c>
      <c r="R53" s="244"/>
      <c r="S53" s="2">
        <f>UL_OH!R9*4.675</f>
        <v>4.7973772321428569</v>
      </c>
      <c r="X53" s="5">
        <f>AVERAGE(S53:W53)</f>
        <v>4.7973772321428569</v>
      </c>
      <c r="Y53" s="3" t="e">
        <f>SQRT(VAR(S53:W53))</f>
        <v>#DIV/0!</v>
      </c>
      <c r="Z53" s="3">
        <f>COUNT(S53:W53)</f>
        <v>1</v>
      </c>
    </row>
    <row r="54" spans="1:26" ht="25.5">
      <c r="A54" s="244"/>
      <c r="G54" s="11" t="s">
        <v>418</v>
      </c>
      <c r="H54" s="11">
        <v>4.4999999999999998E-2</v>
      </c>
      <c r="I54" s="20">
        <f>UL_OH!R9*0.1</f>
        <v>0.10261769480519481</v>
      </c>
      <c r="J54" s="20"/>
      <c r="K54" s="20"/>
      <c r="L54" s="20"/>
      <c r="M54" s="27">
        <f>AVERAGE(I54:L54)</f>
        <v>0.10261769480519481</v>
      </c>
      <c r="N54" s="11" t="e">
        <f>SQRT(VAR(I54:L54))</f>
        <v>#DIV/0!</v>
      </c>
      <c r="O54" s="11">
        <f>COUNT(I54:L54)</f>
        <v>1</v>
      </c>
      <c r="R54" s="244"/>
      <c r="S54" s="20">
        <f>UL_OH!R9*0.091</f>
        <v>9.3382102272727266E-2</v>
      </c>
      <c r="T54" s="20"/>
      <c r="U54" s="20"/>
      <c r="V54" s="20"/>
      <c r="W54" s="20"/>
      <c r="X54" s="27">
        <f>AVERAGE(S54:W54)</f>
        <v>9.3382102272727266E-2</v>
      </c>
      <c r="Y54" s="11" t="e">
        <f>SQRT(VAR(S54:W54))</f>
        <v>#DIV/0!</v>
      </c>
      <c r="Z54" s="11">
        <f>COUNT(S54:W54)</f>
        <v>1</v>
      </c>
    </row>
    <row r="55" spans="1:26">
      <c r="A55" s="244"/>
      <c r="M55" s="5"/>
      <c r="R55" s="244"/>
      <c r="X55" s="5"/>
    </row>
    <row r="56" spans="1:26" ht="38.25">
      <c r="A56" s="244"/>
      <c r="B56" s="3" t="s">
        <v>419</v>
      </c>
      <c r="C56" s="3" t="s">
        <v>476</v>
      </c>
      <c r="D56" s="3" t="s">
        <v>486</v>
      </c>
      <c r="E56" s="3" t="s">
        <v>416</v>
      </c>
      <c r="G56" s="3" t="s">
        <v>417</v>
      </c>
      <c r="H56" s="17">
        <v>1.6</v>
      </c>
      <c r="I56" s="2">
        <f>UL_OH!R9*3.272</f>
        <v>3.3576509740259737</v>
      </c>
      <c r="M56" s="5">
        <f t="shared" ref="M56:M63" si="4">AVERAGE(I56:L56)</f>
        <v>3.3576509740259737</v>
      </c>
      <c r="N56" s="3" t="e">
        <f t="shared" ref="N56:N63" si="5">SQRT(VAR(I56:L56))</f>
        <v>#DIV/0!</v>
      </c>
      <c r="O56" s="3">
        <f t="shared" ref="O56:O63" si="6">COUNT(I56:L56)</f>
        <v>1</v>
      </c>
      <c r="R56" s="244"/>
      <c r="S56" s="2">
        <f>UL_OH!R9*3.225</f>
        <v>3.3094206574675327</v>
      </c>
      <c r="X56" s="5">
        <f>AVERAGE(S56:W56)</f>
        <v>3.3094206574675327</v>
      </c>
      <c r="Y56" s="3" t="e">
        <f>SQRT(VAR(S56:W56))</f>
        <v>#DIV/0!</v>
      </c>
      <c r="Z56" s="3">
        <f>COUNT(S56:W56)</f>
        <v>1</v>
      </c>
    </row>
    <row r="57" spans="1:26" ht="25.5">
      <c r="A57" s="244"/>
      <c r="G57" s="11" t="s">
        <v>418</v>
      </c>
      <c r="H57" s="11">
        <v>4.4999999999999998E-2</v>
      </c>
      <c r="I57" s="20">
        <f>UL_OH!R9*0.067</f>
        <v>6.8753855519480517E-2</v>
      </c>
      <c r="J57" s="20"/>
      <c r="K57" s="20"/>
      <c r="L57" s="20"/>
      <c r="M57" s="27">
        <f t="shared" si="4"/>
        <v>6.8753855519480517E-2</v>
      </c>
      <c r="N57" s="11" t="e">
        <f t="shared" si="5"/>
        <v>#DIV/0!</v>
      </c>
      <c r="O57" s="11">
        <f t="shared" si="6"/>
        <v>1</v>
      </c>
      <c r="R57" s="244"/>
      <c r="S57" s="20">
        <f>UL_OH!R9*0.062</f>
        <v>6.3622970779220772E-2</v>
      </c>
      <c r="T57" s="20"/>
      <c r="U57" s="20"/>
      <c r="V57" s="20"/>
      <c r="W57" s="20"/>
      <c r="X57" s="27">
        <f>AVERAGE(S57:W57)</f>
        <v>6.3622970779220772E-2</v>
      </c>
      <c r="Y57" s="11" t="e">
        <f>SQRT(VAR(S57:W57))</f>
        <v>#DIV/0!</v>
      </c>
      <c r="Z57" s="11">
        <f>COUNT(S57:W57)</f>
        <v>1</v>
      </c>
    </row>
    <row r="58" spans="1:26">
      <c r="A58" s="244"/>
      <c r="M58" s="5" t="e">
        <f t="shared" si="4"/>
        <v>#DIV/0!</v>
      </c>
      <c r="N58" s="3" t="e">
        <f t="shared" si="5"/>
        <v>#DIV/0!</v>
      </c>
      <c r="O58" s="3">
        <f t="shared" si="6"/>
        <v>0</v>
      </c>
      <c r="R58" s="244"/>
      <c r="X58" s="5"/>
    </row>
    <row r="59" spans="1:26" ht="25.5">
      <c r="A59" s="244"/>
      <c r="B59" s="3" t="s">
        <v>413</v>
      </c>
      <c r="C59" s="3" t="s">
        <v>478</v>
      </c>
      <c r="D59" s="3" t="s">
        <v>434</v>
      </c>
      <c r="E59" s="3" t="s">
        <v>416</v>
      </c>
      <c r="G59" s="3" t="s">
        <v>417</v>
      </c>
      <c r="H59" s="17">
        <v>1.6</v>
      </c>
      <c r="M59" s="5" t="e">
        <f t="shared" si="4"/>
        <v>#DIV/0!</v>
      </c>
      <c r="N59" s="3" t="e">
        <f t="shared" si="5"/>
        <v>#DIV/0!</v>
      </c>
      <c r="O59" s="3">
        <f t="shared" si="6"/>
        <v>0</v>
      </c>
      <c r="R59" s="244"/>
      <c r="X59" s="5" t="e">
        <f>AVERAGE(S59:W59)</f>
        <v>#DIV/0!</v>
      </c>
      <c r="Y59" s="3" t="e">
        <f>SQRT(VAR(S59:W59))</f>
        <v>#DIV/0!</v>
      </c>
      <c r="Z59" s="3">
        <f>COUNT(S59:W59)</f>
        <v>0</v>
      </c>
    </row>
    <row r="60" spans="1:26" ht="25.5">
      <c r="A60" s="244"/>
      <c r="G60" s="11" t="s">
        <v>418</v>
      </c>
      <c r="H60" s="11">
        <v>4.4999999999999998E-2</v>
      </c>
      <c r="I60" s="20"/>
      <c r="J60" s="20"/>
      <c r="K60" s="20"/>
      <c r="L60" s="20"/>
      <c r="M60" s="27" t="e">
        <f t="shared" si="4"/>
        <v>#DIV/0!</v>
      </c>
      <c r="N60" s="11" t="e">
        <f t="shared" si="5"/>
        <v>#DIV/0!</v>
      </c>
      <c r="O60" s="11">
        <f t="shared" si="6"/>
        <v>0</v>
      </c>
      <c r="R60" s="244"/>
      <c r="S60" s="20"/>
      <c r="T60" s="20"/>
      <c r="U60" s="20"/>
      <c r="V60" s="20"/>
      <c r="W60" s="20"/>
      <c r="X60" s="27" t="e">
        <f>AVERAGE(S60:W60)</f>
        <v>#DIV/0!</v>
      </c>
      <c r="Y60" s="11" t="e">
        <f>SQRT(VAR(S60:W60))</f>
        <v>#DIV/0!</v>
      </c>
      <c r="Z60" s="11">
        <f>COUNT(S60:W60)</f>
        <v>0</v>
      </c>
    </row>
    <row r="61" spans="1:26">
      <c r="A61" s="244"/>
      <c r="M61" s="5" t="e">
        <f t="shared" si="4"/>
        <v>#DIV/0!</v>
      </c>
      <c r="N61" s="3" t="e">
        <f t="shared" si="5"/>
        <v>#DIV/0!</v>
      </c>
      <c r="O61" s="3">
        <f t="shared" si="6"/>
        <v>0</v>
      </c>
      <c r="R61" s="244"/>
      <c r="X61" s="5"/>
    </row>
    <row r="62" spans="1:26" ht="25.5">
      <c r="A62" s="244"/>
      <c r="B62" s="3" t="s">
        <v>413</v>
      </c>
      <c r="C62" s="3" t="s">
        <v>476</v>
      </c>
      <c r="D62" s="3" t="s">
        <v>487</v>
      </c>
      <c r="E62" s="3" t="s">
        <v>416</v>
      </c>
      <c r="G62" s="3" t="s">
        <v>417</v>
      </c>
      <c r="H62" s="17">
        <v>1.6</v>
      </c>
      <c r="M62" s="5" t="e">
        <f t="shared" si="4"/>
        <v>#DIV/0!</v>
      </c>
      <c r="N62" s="3" t="e">
        <f t="shared" si="5"/>
        <v>#DIV/0!</v>
      </c>
      <c r="O62" s="3">
        <f t="shared" si="6"/>
        <v>0</v>
      </c>
      <c r="R62" s="244"/>
      <c r="X62" s="5" t="e">
        <f>AVERAGE(S62:W62)</f>
        <v>#DIV/0!</v>
      </c>
      <c r="Y62" s="3" t="e">
        <f>SQRT(VAR(S62:W62))</f>
        <v>#DIV/0!</v>
      </c>
      <c r="Z62" s="3">
        <f>COUNT(S62:W62)</f>
        <v>0</v>
      </c>
    </row>
    <row r="63" spans="1:26" ht="25.5">
      <c r="A63" s="244"/>
      <c r="G63" s="11" t="s">
        <v>418</v>
      </c>
      <c r="H63" s="11">
        <v>4.4999999999999998E-2</v>
      </c>
      <c r="I63" s="20"/>
      <c r="J63" s="20"/>
      <c r="K63" s="20"/>
      <c r="L63" s="20"/>
      <c r="M63" s="27" t="e">
        <f t="shared" si="4"/>
        <v>#DIV/0!</v>
      </c>
      <c r="N63" s="11" t="e">
        <f t="shared" si="5"/>
        <v>#DIV/0!</v>
      </c>
      <c r="O63" s="11">
        <f t="shared" si="6"/>
        <v>0</v>
      </c>
      <c r="R63" s="244"/>
      <c r="S63" s="20"/>
      <c r="T63" s="20"/>
      <c r="U63" s="20"/>
      <c r="V63" s="20"/>
      <c r="W63" s="20"/>
      <c r="X63" s="27" t="e">
        <f>AVERAGE(S63:W63)</f>
        <v>#DIV/0!</v>
      </c>
      <c r="Y63" s="11" t="e">
        <f>SQRT(VAR(S63:W63))</f>
        <v>#DIV/0!</v>
      </c>
      <c r="Z63" s="11">
        <f>COUNT(S63:W63)</f>
        <v>0</v>
      </c>
    </row>
    <row r="64" spans="1:26">
      <c r="A64" s="30"/>
      <c r="J64" s="209"/>
      <c r="M64" s="5"/>
      <c r="R64" s="30"/>
      <c r="X64" s="5"/>
    </row>
    <row r="65" spans="1:26" ht="25.5">
      <c r="A65" s="30"/>
      <c r="B65" s="9" t="s">
        <v>50</v>
      </c>
      <c r="C65" s="9"/>
      <c r="D65" s="9" t="s">
        <v>50</v>
      </c>
      <c r="E65" s="9"/>
      <c r="F65" s="9"/>
      <c r="G65" s="13"/>
      <c r="H65" s="13"/>
      <c r="I65" s="16"/>
      <c r="J65" s="210"/>
      <c r="K65" s="16"/>
      <c r="L65" s="16"/>
      <c r="M65" s="26"/>
      <c r="N65" s="13"/>
      <c r="O65" s="13"/>
      <c r="R65" s="30"/>
      <c r="S65" s="16"/>
      <c r="T65" s="16"/>
      <c r="U65" s="16"/>
      <c r="V65" s="16"/>
      <c r="W65" s="16"/>
      <c r="X65" s="26"/>
      <c r="Y65" s="13"/>
      <c r="Z65" s="13"/>
    </row>
    <row r="66" spans="1:26" ht="38.25">
      <c r="A66" s="30"/>
      <c r="B66" s="3" t="s">
        <v>413</v>
      </c>
      <c r="C66" s="3" t="s">
        <v>476</v>
      </c>
      <c r="D66" s="3" t="s">
        <v>436</v>
      </c>
      <c r="E66" s="3" t="s">
        <v>429</v>
      </c>
      <c r="F66" s="3" t="s">
        <v>69</v>
      </c>
      <c r="G66" s="3" t="s">
        <v>417</v>
      </c>
      <c r="H66" s="17">
        <v>1.6</v>
      </c>
      <c r="I66" s="2">
        <f>UL_OH!R28*3.62</f>
        <v>3.334050420168067</v>
      </c>
      <c r="J66" s="209">
        <v>3.0074000000000001</v>
      </c>
      <c r="M66" s="5">
        <f>AVERAGE(I66:L66)</f>
        <v>3.1707252100840337</v>
      </c>
      <c r="N66" s="3">
        <f>SQRT(VAR(I66:L66))</f>
        <v>0.23097672717827508</v>
      </c>
      <c r="O66" s="3">
        <f>COUNT(I66:L66)</f>
        <v>2</v>
      </c>
      <c r="R66" s="30"/>
      <c r="S66" s="2">
        <f>UL_OH!R28*3.593</f>
        <v>3.3091831932773106</v>
      </c>
      <c r="X66" s="5">
        <f>AVERAGE(S66:W66)</f>
        <v>3.3091831932773106</v>
      </c>
      <c r="Y66" s="3" t="e">
        <f>SQRT(VAR(S66:W66))</f>
        <v>#DIV/0!</v>
      </c>
      <c r="Z66" s="3">
        <f>COUNT(S66:W66)</f>
        <v>1</v>
      </c>
    </row>
    <row r="67" spans="1:26" ht="25.5">
      <c r="A67" s="30"/>
      <c r="G67" s="11" t="s">
        <v>418</v>
      </c>
      <c r="H67" s="11">
        <v>4.4999999999999998E-2</v>
      </c>
      <c r="I67" s="20">
        <f>UL_OH!R28*0.066</f>
        <v>6.0786554621848739E-2</v>
      </c>
      <c r="J67" s="208">
        <v>6.3E-2</v>
      </c>
      <c r="K67" s="20"/>
      <c r="L67" s="20"/>
      <c r="M67" s="27">
        <f>AVERAGE(I67:L67)</f>
        <v>6.1893277310924366E-2</v>
      </c>
      <c r="N67" s="11">
        <f>SQRT(VAR(I67:L67))</f>
        <v>1.5651422366767791E-3</v>
      </c>
      <c r="O67" s="11">
        <f>COUNT(I67:L67)</f>
        <v>2</v>
      </c>
      <c r="R67" s="30"/>
      <c r="S67" s="20">
        <f>UL_OH!R28*0.059</f>
        <v>5.4339495798319322E-2</v>
      </c>
      <c r="T67" s="20"/>
      <c r="U67" s="20"/>
      <c r="V67" s="20"/>
      <c r="W67" s="20"/>
      <c r="X67" s="27">
        <f>AVERAGE(S67:W67)</f>
        <v>5.4339495798319322E-2</v>
      </c>
      <c r="Y67" s="11" t="e">
        <f>SQRT(VAR(S67:W67))</f>
        <v>#DIV/0!</v>
      </c>
      <c r="Z67" s="11">
        <f>COUNT(S67:W67)</f>
        <v>1</v>
      </c>
    </row>
    <row r="68" spans="1:26">
      <c r="A68" s="30"/>
      <c r="J68" s="209"/>
      <c r="M68" s="5"/>
      <c r="R68" s="30"/>
      <c r="X68" s="5"/>
    </row>
    <row r="69" spans="1:26" ht="38.25">
      <c r="A69" s="30"/>
      <c r="B69" s="3" t="s">
        <v>413</v>
      </c>
      <c r="C69" s="3" t="s">
        <v>476</v>
      </c>
      <c r="D69" s="3" t="s">
        <v>436</v>
      </c>
      <c r="E69" s="3" t="s">
        <v>416</v>
      </c>
      <c r="F69" s="3" t="s">
        <v>69</v>
      </c>
      <c r="G69" s="3" t="s">
        <v>417</v>
      </c>
      <c r="H69" s="17">
        <v>1.6</v>
      </c>
      <c r="I69" s="2">
        <f>UL_OH!R19*3.747</f>
        <v>3.5265882352941178</v>
      </c>
      <c r="J69" s="209"/>
      <c r="M69" s="5">
        <f>AVERAGE(I69:L69)</f>
        <v>3.5265882352941178</v>
      </c>
      <c r="N69" s="3" t="e">
        <f>SQRT(VAR(I69:L69))</f>
        <v>#DIV/0!</v>
      </c>
      <c r="O69" s="3">
        <f>COUNT(I69:L69)</f>
        <v>1</v>
      </c>
      <c r="R69" s="30"/>
      <c r="S69" s="2">
        <f>UL_OH!R19*3.751</f>
        <v>3.5303529411764707</v>
      </c>
      <c r="X69" s="5">
        <f>AVERAGE(S69:W69)</f>
        <v>3.5303529411764707</v>
      </c>
      <c r="Y69" s="3" t="e">
        <f>SQRT(VAR(S69:W69))</f>
        <v>#DIV/0!</v>
      </c>
      <c r="Z69" s="3">
        <f>COUNT(S69:W69)</f>
        <v>1</v>
      </c>
    </row>
    <row r="70" spans="1:26" ht="25.5">
      <c r="A70" s="30"/>
      <c r="G70" s="11" t="s">
        <v>418</v>
      </c>
      <c r="H70" s="11">
        <v>4.4999999999999998E-2</v>
      </c>
      <c r="I70" s="20">
        <f>UL_OH!R19*0.052</f>
        <v>4.8941176470588238E-2</v>
      </c>
      <c r="J70" s="20"/>
      <c r="K70" s="20"/>
      <c r="L70" s="20"/>
      <c r="M70" s="27">
        <f>AVERAGE(I70:L70)</f>
        <v>4.8941176470588238E-2</v>
      </c>
      <c r="N70" s="11" t="e">
        <f>SQRT(VAR(I70:L70))</f>
        <v>#DIV/0!</v>
      </c>
      <c r="O70" s="11">
        <f>COUNT(I70:L70)</f>
        <v>1</v>
      </c>
      <c r="R70" s="30"/>
      <c r="S70" s="20">
        <f>UL_OH!R19*0.045</f>
        <v>4.2352941176470593E-2</v>
      </c>
      <c r="T70" s="20"/>
      <c r="U70" s="20"/>
      <c r="V70" s="20"/>
      <c r="W70" s="20"/>
      <c r="X70" s="27">
        <f>AVERAGE(S70:W70)</f>
        <v>4.2352941176470593E-2</v>
      </c>
      <c r="Y70" s="11" t="e">
        <f>SQRT(VAR(S70:W70))</f>
        <v>#DIV/0!</v>
      </c>
      <c r="Z70" s="11">
        <f>COUNT(S70:W70)</f>
        <v>1</v>
      </c>
    </row>
    <row r="71" spans="1:26">
      <c r="A71" s="30"/>
      <c r="M71" s="5"/>
      <c r="R71" s="30"/>
      <c r="X71" s="5"/>
    </row>
    <row r="72" spans="1:26" ht="38.25">
      <c r="A72" s="30"/>
      <c r="B72" s="3" t="s">
        <v>413</v>
      </c>
      <c r="C72" s="3" t="s">
        <v>476</v>
      </c>
      <c r="D72" s="3" t="s">
        <v>488</v>
      </c>
      <c r="E72" s="3" t="s">
        <v>429</v>
      </c>
      <c r="F72" s="3" t="s">
        <v>69</v>
      </c>
      <c r="G72" s="3" t="s">
        <v>417</v>
      </c>
      <c r="H72" s="17">
        <v>1.6</v>
      </c>
      <c r="I72" s="2">
        <f>UL_OH!R28*4.166</f>
        <v>3.8369210084033614</v>
      </c>
      <c r="M72" s="5">
        <f>AVERAGE(I72:L72)</f>
        <v>3.8369210084033614</v>
      </c>
      <c r="N72" s="3" t="e">
        <f>SQRT(VAR(I72:L72))</f>
        <v>#DIV/0!</v>
      </c>
      <c r="O72" s="3">
        <f>COUNT(I72:L72)</f>
        <v>1</v>
      </c>
      <c r="R72" s="30"/>
      <c r="S72" s="2">
        <f>UL_OH!R28*4.153</f>
        <v>3.824947899159663</v>
      </c>
      <c r="V72" s="2">
        <f>UL_OH!R29*3.23</f>
        <v>3.2387752983912823</v>
      </c>
      <c r="X72" s="5">
        <f>AVERAGE(S72:W72)</f>
        <v>3.5318615987754729</v>
      </c>
      <c r="Y72" s="3">
        <f>SQRT(VAR(S72:W72))</f>
        <v>0.4144866209490769</v>
      </c>
      <c r="Z72" s="3">
        <f>COUNT(S72:W72)</f>
        <v>2</v>
      </c>
    </row>
    <row r="73" spans="1:26" ht="25.5">
      <c r="A73" s="30"/>
      <c r="G73" s="11" t="s">
        <v>418</v>
      </c>
      <c r="H73" s="11">
        <v>4.4999999999999998E-2</v>
      </c>
      <c r="I73" s="20">
        <f>UL_OH!R28*0.079</f>
        <v>7.275966386554622E-2</v>
      </c>
      <c r="J73" s="20"/>
      <c r="K73" s="20"/>
      <c r="L73" s="20"/>
      <c r="M73" s="27">
        <f>AVERAGE(I73:L73)</f>
        <v>7.275966386554622E-2</v>
      </c>
      <c r="N73" s="11" t="e">
        <f>SQRT(VAR(I73:L73))</f>
        <v>#DIV/0!</v>
      </c>
      <c r="O73" s="11">
        <f>COUNT(I73:L73)</f>
        <v>1</v>
      </c>
      <c r="R73" s="30"/>
      <c r="S73" s="20">
        <f>UL_OH!R28*0.071</f>
        <v>6.5391596638655458E-2</v>
      </c>
      <c r="T73" s="20"/>
      <c r="U73" s="20"/>
      <c r="V73" s="31" t="s">
        <v>165</v>
      </c>
      <c r="W73" s="20"/>
      <c r="X73" s="27">
        <f>AVERAGE(S73:W73)</f>
        <v>6.5391596638655458E-2</v>
      </c>
      <c r="Y73" s="11" t="e">
        <f>SQRT(VAR(S73:W73))</f>
        <v>#DIV/0!</v>
      </c>
      <c r="Z73" s="11">
        <f>COUNT(S73:W73)</f>
        <v>1</v>
      </c>
    </row>
    <row r="74" spans="1:26">
      <c r="A74" s="30"/>
      <c r="M74" s="5"/>
      <c r="R74" s="30"/>
      <c r="X74" s="5"/>
    </row>
    <row r="75" spans="1:26" ht="38.25">
      <c r="A75" s="30"/>
      <c r="B75" s="3" t="s">
        <v>413</v>
      </c>
      <c r="C75" s="3" t="s">
        <v>476</v>
      </c>
      <c r="D75" s="3" t="s">
        <v>488</v>
      </c>
      <c r="E75" s="3" t="s">
        <v>416</v>
      </c>
      <c r="F75" s="3" t="s">
        <v>69</v>
      </c>
      <c r="G75" s="3" t="s">
        <v>417</v>
      </c>
      <c r="H75" s="17">
        <v>1.6</v>
      </c>
      <c r="I75" s="2">
        <f>UL_OH!R19*4.283</f>
        <v>4.0310588235294125</v>
      </c>
      <c r="M75" s="5">
        <f>AVERAGE(I75:L75)</f>
        <v>4.0310588235294125</v>
      </c>
      <c r="N75" s="3" t="e">
        <f>SQRT(VAR(I75:L75))</f>
        <v>#DIV/0!</v>
      </c>
      <c r="O75" s="3">
        <f>COUNT(I75:L75)</f>
        <v>1</v>
      </c>
      <c r="R75" s="30"/>
      <c r="S75" s="2">
        <f>UL_OH!R19*4.293</f>
        <v>4.0404705882352943</v>
      </c>
      <c r="X75" s="5">
        <f>AVERAGE(S75:W75)</f>
        <v>4.0404705882352943</v>
      </c>
      <c r="Y75" s="3" t="e">
        <f>SQRT(VAR(S75:W75))</f>
        <v>#DIV/0!</v>
      </c>
      <c r="Z75" s="3">
        <f>COUNT(S75:W75)</f>
        <v>1</v>
      </c>
    </row>
    <row r="76" spans="1:26" ht="25.5">
      <c r="A76" s="30"/>
      <c r="G76" s="11" t="s">
        <v>418</v>
      </c>
      <c r="H76" s="11">
        <v>4.4999999999999998E-2</v>
      </c>
      <c r="I76" s="20">
        <f>UL_OH!R19*0.063</f>
        <v>5.929411764705883E-2</v>
      </c>
      <c r="J76" s="20"/>
      <c r="K76" s="20"/>
      <c r="L76" s="20"/>
      <c r="M76" s="27">
        <f>AVERAGE(I76:L76)</f>
        <v>5.929411764705883E-2</v>
      </c>
      <c r="N76" s="11" t="e">
        <f>SQRT(VAR(I76:L76))</f>
        <v>#DIV/0!</v>
      </c>
      <c r="O76" s="11">
        <f>COUNT(I76:L76)</f>
        <v>1</v>
      </c>
      <c r="R76" s="30"/>
      <c r="S76" s="20">
        <f>UL_OH!R19*0.056</f>
        <v>5.2705882352941186E-2</v>
      </c>
      <c r="T76" s="20"/>
      <c r="U76" s="20"/>
      <c r="V76" s="20"/>
      <c r="W76" s="20"/>
      <c r="X76" s="27">
        <f>AVERAGE(S76:W76)</f>
        <v>5.2705882352941186E-2</v>
      </c>
      <c r="Y76" s="11" t="e">
        <f>SQRT(VAR(S76:W76))</f>
        <v>#DIV/0!</v>
      </c>
      <c r="Z76" s="11">
        <f>COUNT(S76:W76)</f>
        <v>1</v>
      </c>
    </row>
    <row r="77" spans="1:26">
      <c r="A77" s="30"/>
      <c r="M77" s="5"/>
      <c r="R77" s="244"/>
      <c r="X77" s="5"/>
    </row>
    <row r="78" spans="1:26" ht="38.25">
      <c r="A78" s="30"/>
      <c r="B78" s="3" t="s">
        <v>413</v>
      </c>
      <c r="C78" s="3" t="s">
        <v>478</v>
      </c>
      <c r="D78" s="3" t="s">
        <v>489</v>
      </c>
      <c r="E78" s="3" t="s">
        <v>416</v>
      </c>
      <c r="F78" s="3" t="s">
        <v>70</v>
      </c>
      <c r="G78" s="3" t="s">
        <v>417</v>
      </c>
      <c r="H78" s="17">
        <v>1.6</v>
      </c>
      <c r="M78" s="5" t="e">
        <f>AVERAGE(I78:L78)</f>
        <v>#DIV/0!</v>
      </c>
      <c r="N78" s="3" t="e">
        <f>SQRT(VAR(I78:L78))</f>
        <v>#DIV/0!</v>
      </c>
      <c r="O78" s="3">
        <f>COUNT(I78:L78)</f>
        <v>0</v>
      </c>
      <c r="R78" s="244"/>
      <c r="X78" s="5" t="e">
        <f>AVERAGE(S78:W78)</f>
        <v>#DIV/0!</v>
      </c>
      <c r="Y78" s="3" t="e">
        <f>SQRT(VAR(S78:W78))</f>
        <v>#DIV/0!</v>
      </c>
      <c r="Z78" s="3">
        <f>COUNT(S78:W78)</f>
        <v>0</v>
      </c>
    </row>
    <row r="79" spans="1:26" ht="25.5">
      <c r="A79" s="30"/>
      <c r="G79" s="11" t="s">
        <v>418</v>
      </c>
      <c r="H79" s="11">
        <v>4.4999999999999998E-2</v>
      </c>
      <c r="I79" s="20"/>
      <c r="J79" s="20"/>
      <c r="K79" s="20"/>
      <c r="L79" s="20"/>
      <c r="M79" s="27" t="e">
        <f>AVERAGE(I79:L79)</f>
        <v>#DIV/0!</v>
      </c>
      <c r="N79" s="11" t="e">
        <f>SQRT(VAR(I79:L79))</f>
        <v>#DIV/0!</v>
      </c>
      <c r="O79" s="11">
        <f>COUNT(I79:L79)</f>
        <v>0</v>
      </c>
      <c r="R79" s="244"/>
      <c r="S79" s="20"/>
      <c r="T79" s="20"/>
      <c r="U79" s="20"/>
      <c r="V79" s="20"/>
      <c r="W79" s="20"/>
      <c r="X79" s="27" t="e">
        <f>AVERAGE(S79:W79)</f>
        <v>#DIV/0!</v>
      </c>
      <c r="Y79" s="11" t="e">
        <f>SQRT(VAR(S79:W79))</f>
        <v>#DIV/0!</v>
      </c>
      <c r="Z79" s="11">
        <f>COUNT(S79:W79)</f>
        <v>0</v>
      </c>
    </row>
    <row r="80" spans="1:26">
      <c r="A80" s="39"/>
      <c r="M80" s="5"/>
      <c r="R80" s="244"/>
      <c r="X80" s="5"/>
    </row>
    <row r="81" spans="1:26" ht="38.25">
      <c r="A81" s="30"/>
      <c r="B81" s="3" t="s">
        <v>413</v>
      </c>
      <c r="C81" s="3" t="s">
        <v>454</v>
      </c>
      <c r="D81" s="3" t="s">
        <v>490</v>
      </c>
      <c r="E81" s="3" t="s">
        <v>416</v>
      </c>
      <c r="F81" s="3" t="s">
        <v>472</v>
      </c>
      <c r="G81" s="3" t="s">
        <v>417</v>
      </c>
      <c r="H81" s="17">
        <v>1.6</v>
      </c>
      <c r="M81" s="5" t="e">
        <f>AVERAGE(I81:L81)</f>
        <v>#DIV/0!</v>
      </c>
      <c r="N81" s="3" t="e">
        <f>SQRT(VAR(I81:L81))</f>
        <v>#DIV/0!</v>
      </c>
      <c r="O81" s="3">
        <f>COUNT(I81:L81)</f>
        <v>0</v>
      </c>
      <c r="R81" s="244"/>
      <c r="X81" s="5" t="e">
        <f>AVERAGE(S81:W81)</f>
        <v>#DIV/0!</v>
      </c>
      <c r="Y81" s="3" t="e">
        <f>SQRT(VAR(S81:W81))</f>
        <v>#DIV/0!</v>
      </c>
      <c r="Z81" s="3">
        <f>COUNT(S81:W81)</f>
        <v>0</v>
      </c>
    </row>
    <row r="82" spans="1:26" ht="25.5">
      <c r="A82" s="30"/>
      <c r="G82" s="11" t="s">
        <v>418</v>
      </c>
      <c r="H82" s="11">
        <v>4.4999999999999998E-2</v>
      </c>
      <c r="I82" s="20"/>
      <c r="J82" s="20"/>
      <c r="K82" s="20"/>
      <c r="L82" s="20"/>
      <c r="M82" s="27" t="e">
        <f>AVERAGE(I82:L82)</f>
        <v>#DIV/0!</v>
      </c>
      <c r="N82" s="11" t="e">
        <f>SQRT(VAR(I82:L82))</f>
        <v>#DIV/0!</v>
      </c>
      <c r="O82" s="11">
        <f>COUNT(I82:L82)</f>
        <v>0</v>
      </c>
      <c r="R82" s="244"/>
      <c r="S82" s="20"/>
      <c r="T82" s="20"/>
      <c r="U82" s="20"/>
      <c r="V82" s="20"/>
      <c r="W82" s="20"/>
      <c r="X82" s="27" t="e">
        <f>AVERAGE(S82:W82)</f>
        <v>#DIV/0!</v>
      </c>
      <c r="Y82" s="11" t="e">
        <f>SQRT(VAR(S82:W82))</f>
        <v>#DIV/0!</v>
      </c>
      <c r="Z82" s="11">
        <f>COUNT(S82:W82)</f>
        <v>0</v>
      </c>
    </row>
    <row r="83" spans="1:26">
      <c r="A83" s="30"/>
      <c r="M83" s="5"/>
      <c r="R83" s="244"/>
      <c r="X83" s="5"/>
    </row>
    <row r="84" spans="1:26" ht="38.25">
      <c r="A84" s="30"/>
      <c r="B84" s="3" t="s">
        <v>413</v>
      </c>
      <c r="C84" s="3" t="s">
        <v>476</v>
      </c>
      <c r="D84" s="29" t="s">
        <v>488</v>
      </c>
      <c r="E84" s="3" t="s">
        <v>429</v>
      </c>
      <c r="F84" s="29" t="s">
        <v>70</v>
      </c>
      <c r="G84" s="3" t="s">
        <v>417</v>
      </c>
      <c r="H84" s="17">
        <v>1.6</v>
      </c>
      <c r="L84" s="2">
        <f>UL_OH!R26*4.22</f>
        <v>4.4145527992940483</v>
      </c>
      <c r="M84" s="5">
        <f>AVERAGE(I84:L84)</f>
        <v>4.4145527992940483</v>
      </c>
      <c r="N84" s="3" t="e">
        <f>SQRT(VAR(I84:L84))</f>
        <v>#DIV/0!</v>
      </c>
      <c r="O84" s="3">
        <f>COUNT(I84:L84)</f>
        <v>1</v>
      </c>
      <c r="R84" s="244"/>
      <c r="V84" s="2">
        <f>UL_OH!R26*3.399</f>
        <v>3.5557025982939505</v>
      </c>
      <c r="X84" s="5">
        <f>AVERAGE(S84:W84)</f>
        <v>3.5557025982939505</v>
      </c>
      <c r="Y84" s="3" t="e">
        <f>SQRT(VAR(S84:W84))</f>
        <v>#DIV/0!</v>
      </c>
      <c r="Z84" s="3">
        <f t="shared" ref="Z84:Z85" si="7">COUNT(S84:W84)</f>
        <v>1</v>
      </c>
    </row>
    <row r="85" spans="1:26">
      <c r="A85" s="30"/>
      <c r="G85" s="11"/>
      <c r="H85" s="11"/>
      <c r="I85" s="20"/>
      <c r="J85" s="20"/>
      <c r="K85" s="20"/>
      <c r="L85" s="31" t="s">
        <v>165</v>
      </c>
      <c r="M85" s="27"/>
      <c r="N85" s="11"/>
      <c r="O85" s="11"/>
      <c r="R85" s="244"/>
      <c r="S85" s="20"/>
      <c r="T85" s="20"/>
      <c r="U85" s="20"/>
      <c r="V85" s="31" t="s">
        <v>165</v>
      </c>
      <c r="W85" s="20"/>
      <c r="X85" s="27" t="e">
        <f>AVERAGE(S85:W85)</f>
        <v>#DIV/0!</v>
      </c>
      <c r="Y85" s="11" t="e">
        <f>SQRT(VAR(S85:W85))</f>
        <v>#DIV/0!</v>
      </c>
      <c r="Z85" s="11">
        <f t="shared" si="7"/>
        <v>0</v>
      </c>
    </row>
    <row r="86" spans="1:26">
      <c r="A86" s="30"/>
      <c r="M86" s="5"/>
      <c r="R86" s="244"/>
      <c r="X86" s="5"/>
    </row>
    <row r="87" spans="1:26">
      <c r="M87" s="5"/>
      <c r="X87" s="5"/>
    </row>
    <row r="88" spans="1:26">
      <c r="M88" s="5"/>
      <c r="X88" s="5"/>
    </row>
    <row r="89" spans="1:26">
      <c r="M89" s="5"/>
      <c r="X89" s="5"/>
    </row>
    <row r="90" spans="1:26">
      <c r="M90" s="5"/>
      <c r="X90" s="5"/>
    </row>
    <row r="91" spans="1:26">
      <c r="M91" s="5"/>
      <c r="X91" s="5"/>
    </row>
    <row r="92" spans="1:26">
      <c r="M92" s="5"/>
      <c r="X92" s="5"/>
    </row>
    <row r="93" spans="1:26">
      <c r="M93" s="5"/>
      <c r="X93" s="5"/>
    </row>
    <row r="94" spans="1:26">
      <c r="M94" s="5"/>
      <c r="X94" s="5"/>
    </row>
    <row r="95" spans="1:26">
      <c r="M95" s="5"/>
      <c r="X95" s="5"/>
    </row>
    <row r="96" spans="1:26">
      <c r="M96" s="5"/>
      <c r="X96" s="5"/>
    </row>
    <row r="97" spans="13:24">
      <c r="M97" s="5"/>
      <c r="X97" s="5"/>
    </row>
    <row r="98" spans="13:24">
      <c r="M98" s="5"/>
      <c r="X98" s="5"/>
    </row>
    <row r="99" spans="13:24">
      <c r="M99" s="5"/>
      <c r="X99" s="5"/>
    </row>
    <row r="100" spans="13:24">
      <c r="M100" s="5"/>
      <c r="X100" s="5"/>
    </row>
    <row r="101" spans="13:24">
      <c r="M101" s="5"/>
      <c r="X101" s="5"/>
    </row>
    <row r="102" spans="13:24">
      <c r="M102" s="5"/>
      <c r="X102" s="5"/>
    </row>
    <row r="103" spans="13:24">
      <c r="M103" s="5"/>
      <c r="X103" s="5"/>
    </row>
    <row r="104" spans="13:24">
      <c r="M104" s="5"/>
      <c r="X104" s="5"/>
    </row>
    <row r="105" spans="13:24">
      <c r="M105" s="5"/>
      <c r="X105" s="5"/>
    </row>
    <row r="106" spans="13:24">
      <c r="M106" s="5"/>
      <c r="X106" s="5"/>
    </row>
    <row r="107" spans="13:24">
      <c r="M107" s="5"/>
      <c r="X107" s="5"/>
    </row>
    <row r="108" spans="13:24">
      <c r="M108" s="5"/>
      <c r="X108" s="5"/>
    </row>
    <row r="109" spans="13:24">
      <c r="M109" s="5"/>
      <c r="X109" s="5"/>
    </row>
    <row r="110" spans="13:24">
      <c r="M110" s="5"/>
      <c r="X110" s="5"/>
    </row>
    <row r="111" spans="13:24">
      <c r="M111" s="5"/>
      <c r="X111" s="5"/>
    </row>
    <row r="112" spans="13:24">
      <c r="M112" s="5"/>
      <c r="X112" s="5"/>
    </row>
    <row r="113" spans="13:24">
      <c r="M113" s="5"/>
      <c r="X113" s="5"/>
    </row>
    <row r="114" spans="13:24">
      <c r="M114" s="5"/>
      <c r="X114" s="5"/>
    </row>
    <row r="115" spans="13:24">
      <c r="M115" s="5"/>
      <c r="X115" s="5"/>
    </row>
    <row r="116" spans="13:24">
      <c r="M116" s="5"/>
      <c r="X116" s="5"/>
    </row>
    <row r="117" spans="13:24">
      <c r="M117" s="5"/>
      <c r="X117" s="5"/>
    </row>
    <row r="118" spans="13:24">
      <c r="M118" s="5"/>
      <c r="X118" s="5"/>
    </row>
    <row r="119" spans="13:24">
      <c r="M119" s="5"/>
      <c r="X119" s="5"/>
    </row>
    <row r="120" spans="13:24">
      <c r="M120" s="5"/>
      <c r="X120" s="5"/>
    </row>
    <row r="121" spans="13:24">
      <c r="M121" s="5"/>
      <c r="X121" s="5"/>
    </row>
    <row r="122" spans="13:24">
      <c r="M122" s="5"/>
      <c r="X122" s="5"/>
    </row>
    <row r="123" spans="13:24">
      <c r="M123" s="5"/>
      <c r="X123" s="5"/>
    </row>
    <row r="124" spans="13:24">
      <c r="M124" s="5"/>
      <c r="X124" s="5"/>
    </row>
  </sheetData>
  <mergeCells count="4">
    <mergeCell ref="G1:H1"/>
    <mergeCell ref="A45:A63"/>
    <mergeCell ref="R45:R63"/>
    <mergeCell ref="R77:R86"/>
  </mergeCells>
  <phoneticPr fontId="11" type="noConversion"/>
  <pageMargins left="0.69930555555555596" right="0.69930555555555596" top="0.75" bottom="0.75" header="0.3" footer="0.3"/>
  <pageSetup paperSize="9" orientation="portrait" horizontalDpi="180" verticalDpi="18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6"/>
  <sheetViews>
    <sheetView zoomScale="85" zoomScaleNormal="85" workbookViewId="0">
      <pane xSplit="9" ySplit="2" topLeftCell="J132" activePane="bottomRight" state="frozen"/>
      <selection pane="topRight"/>
      <selection pane="bottomLeft"/>
      <selection pane="bottomRight" activeCell="D5" sqref="D5"/>
    </sheetView>
  </sheetViews>
  <sheetFormatPr defaultColWidth="9.28515625" defaultRowHeight="12.75"/>
  <cols>
    <col min="1" max="1" width="9.28515625" style="3"/>
    <col min="2" max="2" width="5.7109375" style="3" customWidth="1"/>
    <col min="3" max="3" width="26.5703125" style="3" customWidth="1"/>
    <col min="4" max="4" width="18.85546875" style="3" customWidth="1"/>
    <col min="5" max="5" width="11.28515625" style="3" customWidth="1"/>
    <col min="6" max="6" width="9.28515625" style="3" customWidth="1"/>
    <col min="7" max="7" width="12.85546875" style="4" customWidth="1"/>
    <col min="8" max="8" width="16.42578125" style="3" customWidth="1"/>
    <col min="9" max="9" width="6.42578125" style="3" customWidth="1"/>
    <col min="10" max="14" width="9.28515625" style="2" customWidth="1"/>
    <col min="15" max="15" width="9.28515625" style="3" customWidth="1"/>
    <col min="16" max="16" width="9.28515625" style="5" customWidth="1"/>
    <col min="17" max="20" width="9.28515625" style="3"/>
    <col min="21" max="26" width="9.28515625" style="2" customWidth="1"/>
    <col min="27" max="27" width="9.28515625" style="3" customWidth="1"/>
    <col min="28" max="28" width="9.28515625" style="5" customWidth="1"/>
    <col min="29" max="16384" width="9.28515625" style="3"/>
  </cols>
  <sheetData>
    <row r="1" spans="1:29" s="1" customFormat="1" ht="48" customHeight="1">
      <c r="A1" s="6" t="s">
        <v>403</v>
      </c>
      <c r="B1" s="1" t="s">
        <v>404</v>
      </c>
      <c r="C1" s="1" t="s">
        <v>405</v>
      </c>
      <c r="D1" s="1" t="s">
        <v>406</v>
      </c>
      <c r="E1" s="1" t="s">
        <v>57</v>
      </c>
      <c r="F1" s="1" t="s">
        <v>67</v>
      </c>
      <c r="G1" s="7" t="s">
        <v>491</v>
      </c>
      <c r="H1" s="245" t="s">
        <v>407</v>
      </c>
      <c r="I1" s="245"/>
      <c r="J1" s="15" t="s">
        <v>5</v>
      </c>
      <c r="K1" s="33" t="s">
        <v>12</v>
      </c>
      <c r="L1" s="15" t="s">
        <v>14</v>
      </c>
      <c r="M1" s="15" t="s">
        <v>16</v>
      </c>
      <c r="N1" s="33" t="s">
        <v>20</v>
      </c>
      <c r="O1" s="1" t="s">
        <v>408</v>
      </c>
      <c r="P1" s="25" t="s">
        <v>409</v>
      </c>
      <c r="Q1" s="1" t="s">
        <v>410</v>
      </c>
      <c r="T1" s="6" t="s">
        <v>411</v>
      </c>
      <c r="U1" s="15" t="str">
        <f>J1</f>
        <v>Huawei</v>
      </c>
      <c r="V1" s="33" t="s">
        <v>12</v>
      </c>
      <c r="W1" s="15" t="str">
        <f>L1</f>
        <v>CAICT</v>
      </c>
      <c r="X1" s="15" t="str">
        <f>M1</f>
        <v>OPPO</v>
      </c>
      <c r="Y1" s="33" t="s">
        <v>20</v>
      </c>
      <c r="Z1" s="15" t="s">
        <v>23</v>
      </c>
      <c r="AA1" s="1" t="s">
        <v>408</v>
      </c>
      <c r="AB1" s="25" t="s">
        <v>409</v>
      </c>
      <c r="AC1" s="1" t="s">
        <v>410</v>
      </c>
    </row>
    <row r="2" spans="1:29" ht="12.75" customHeight="1">
      <c r="A2" s="246" t="s">
        <v>412</v>
      </c>
      <c r="B2" s="9" t="s">
        <v>49</v>
      </c>
      <c r="C2" s="9"/>
      <c r="D2" s="9" t="s">
        <v>49</v>
      </c>
      <c r="E2" s="9"/>
      <c r="F2" s="9"/>
      <c r="G2" s="10"/>
      <c r="H2" s="9"/>
      <c r="I2" s="9"/>
      <c r="J2" s="16"/>
      <c r="K2" s="16"/>
      <c r="L2" s="16"/>
      <c r="M2" s="16"/>
      <c r="N2" s="16"/>
      <c r="O2" s="26"/>
      <c r="P2" s="26"/>
      <c r="Q2" s="13"/>
      <c r="T2" s="247" t="s">
        <v>412</v>
      </c>
      <c r="U2" s="16"/>
      <c r="V2" s="16"/>
      <c r="W2" s="16"/>
      <c r="X2" s="16"/>
      <c r="Y2" s="16"/>
      <c r="Z2" s="16"/>
      <c r="AA2" s="26"/>
      <c r="AB2" s="26"/>
      <c r="AC2" s="13"/>
    </row>
    <row r="3" spans="1:29" ht="25.5">
      <c r="A3" s="246"/>
      <c r="B3" s="3" t="s">
        <v>413</v>
      </c>
      <c r="C3" s="3" t="s">
        <v>414</v>
      </c>
      <c r="D3" s="3" t="s">
        <v>415</v>
      </c>
      <c r="E3" s="3" t="s">
        <v>416</v>
      </c>
      <c r="G3" s="4">
        <v>10</v>
      </c>
      <c r="H3" s="3" t="s">
        <v>417</v>
      </c>
      <c r="I3" s="17">
        <v>3.3</v>
      </c>
      <c r="J3" s="2">
        <v>6.5940000000000003</v>
      </c>
      <c r="K3" s="2">
        <v>6.89</v>
      </c>
      <c r="L3" s="2">
        <v>6.8872999999999998</v>
      </c>
      <c r="M3" s="2">
        <v>6.54</v>
      </c>
      <c r="N3" s="2">
        <v>4.21</v>
      </c>
      <c r="O3" s="5">
        <f t="shared" ref="O3:O8" si="0">AVERAGE(J3:N3)</f>
        <v>6.2242599999999992</v>
      </c>
      <c r="P3" s="5">
        <f t="shared" ref="P3:P8" si="1">SQRT(VAR(J3:N3))</f>
        <v>1.1375933535319234</v>
      </c>
      <c r="Q3" s="3">
        <f t="shared" ref="Q3:Q8" si="2">COUNT(J3:N3)</f>
        <v>5</v>
      </c>
      <c r="T3" s="246"/>
      <c r="U3" s="2">
        <v>6.5369999999999999</v>
      </c>
      <c r="V3" s="2">
        <v>7.06</v>
      </c>
      <c r="X3" s="2">
        <v>7.09</v>
      </c>
      <c r="Y3" s="2">
        <v>4.79</v>
      </c>
      <c r="AA3" s="5">
        <f t="shared" ref="AA3:AA8" si="3">AVERAGE(U3:Z3)</f>
        <v>6.3692499999999992</v>
      </c>
      <c r="AB3" s="5">
        <f t="shared" ref="AB3:AB8" si="4">SQRT(VAR(U3:Z3))</f>
        <v>1.0830184285905191</v>
      </c>
      <c r="AC3" s="3">
        <f t="shared" ref="AC3:AC8" si="5">COUNT(U3:Z3)</f>
        <v>4</v>
      </c>
    </row>
    <row r="4" spans="1:29" ht="25.5">
      <c r="A4" s="246"/>
      <c r="G4" s="4">
        <v>20</v>
      </c>
      <c r="H4" s="3" t="s">
        <v>417</v>
      </c>
      <c r="I4" s="17">
        <v>3.3</v>
      </c>
      <c r="J4" s="2">
        <f>J3*DL_OH!$W$10</f>
        <v>7.384227734688416</v>
      </c>
      <c r="K4" s="2">
        <f>K3*DL_OH!$W$15</f>
        <v>7.7232960628957752</v>
      </c>
      <c r="L4" s="2">
        <f>L3*DL_OH!$W$17</f>
        <v>7.6987739603960401</v>
      </c>
      <c r="M4" s="2">
        <f>M3*DL_OH!$W$20</f>
        <v>7.3105544554455451</v>
      </c>
      <c r="N4" s="2">
        <f>N3*DL_OH!$W$8</f>
        <v>4.7521185453604229</v>
      </c>
      <c r="O4" s="5">
        <f>AVERAGE(J4:N4)</f>
        <v>6.9737941517572395</v>
      </c>
      <c r="P4" s="5">
        <f t="shared" si="1"/>
        <v>1.2554933856786046</v>
      </c>
      <c r="Q4" s="3">
        <f t="shared" si="2"/>
        <v>5</v>
      </c>
      <c r="T4" s="246"/>
      <c r="U4" s="2">
        <f>U3*DL_OH!$W$10</f>
        <v>7.3203968307033929</v>
      </c>
      <c r="V4" s="2">
        <f>V3*DL_OH!$W$15</f>
        <v>7.9138563431123616</v>
      </c>
      <c r="X4" s="2">
        <f>X3*DL_OH!$W$20</f>
        <v>7.9253564356435646</v>
      </c>
      <c r="Y4" s="2">
        <f>Y3*DL_OH!$W$8</f>
        <v>5.4068047107544954</v>
      </c>
      <c r="AA4" s="5">
        <f t="shared" si="3"/>
        <v>7.1416035800534541</v>
      </c>
      <c r="AB4" s="5">
        <f t="shared" si="4"/>
        <v>1.1905372753644541</v>
      </c>
      <c r="AC4" s="3">
        <f t="shared" si="5"/>
        <v>4</v>
      </c>
    </row>
    <row r="5" spans="1:29" ht="25.5">
      <c r="A5" s="246"/>
      <c r="G5" s="4">
        <v>40</v>
      </c>
      <c r="H5" s="3" t="s">
        <v>417</v>
      </c>
      <c r="I5" s="17">
        <v>3.3</v>
      </c>
      <c r="J5" s="2">
        <f>J3*DL_OH!$AA$10</f>
        <v>7.8611273067665124</v>
      </c>
      <c r="K5" s="2">
        <f>K3*DL_OH!$AA$15</f>
        <v>8.2257292208388151</v>
      </c>
      <c r="L5" s="2">
        <f>L3*DL_OH!$AA$17</f>
        <v>8.1895492399534078</v>
      </c>
      <c r="M5" s="2">
        <f>M3*DL_OH!$AA$20</f>
        <v>7.7765818287711133</v>
      </c>
      <c r="N5" s="2">
        <f>N3*DL_OH!$AA$8</f>
        <v>5.0764361977481531</v>
      </c>
      <c r="O5" s="5">
        <f t="shared" si="0"/>
        <v>7.4258847588156005</v>
      </c>
      <c r="P5" s="5">
        <f t="shared" si="1"/>
        <v>1.3280876905069916</v>
      </c>
      <c r="Q5" s="3">
        <f t="shared" si="2"/>
        <v>5</v>
      </c>
      <c r="T5" s="246"/>
      <c r="U5" s="2">
        <f>U3*DL_OH!$AA$10</f>
        <v>7.7931739769991948</v>
      </c>
      <c r="V5" s="2">
        <f>V3*DL_OH!$AA$15</f>
        <v>8.4286862553152453</v>
      </c>
      <c r="X5" s="2">
        <f>X3*DL_OH!$AA$20</f>
        <v>8.4305757134536989</v>
      </c>
      <c r="Y5" s="2">
        <f>Y3*DL_OH!$AA$8</f>
        <v>5.7758027048013423</v>
      </c>
      <c r="AA5" s="5">
        <f t="shared" si="3"/>
        <v>7.6070596626423708</v>
      </c>
      <c r="AB5" s="5">
        <f t="shared" si="4"/>
        <v>1.2571647369352978</v>
      </c>
      <c r="AC5" s="3">
        <f t="shared" si="5"/>
        <v>4</v>
      </c>
    </row>
    <row r="6" spans="1:29" ht="25.5">
      <c r="A6" s="246"/>
      <c r="G6" s="4">
        <v>10</v>
      </c>
      <c r="H6" s="11" t="s">
        <v>418</v>
      </c>
      <c r="I6" s="11">
        <v>0.12</v>
      </c>
      <c r="J6" s="20">
        <v>0.13800000000000001</v>
      </c>
      <c r="K6" s="20">
        <v>0.19900000000000001</v>
      </c>
      <c r="L6" s="20">
        <v>0.13420000000000001</v>
      </c>
      <c r="M6" s="20">
        <v>0.22</v>
      </c>
      <c r="N6" s="20">
        <v>0.15</v>
      </c>
      <c r="O6" s="27">
        <f t="shared" si="0"/>
        <v>0.16824</v>
      </c>
      <c r="P6" s="27">
        <f t="shared" si="1"/>
        <v>3.8830245943078816E-2</v>
      </c>
      <c r="Q6" s="11">
        <f t="shared" si="2"/>
        <v>5</v>
      </c>
      <c r="T6" s="246"/>
      <c r="U6" s="20">
        <v>0.13</v>
      </c>
      <c r="V6" s="20">
        <v>0.189</v>
      </c>
      <c r="W6" s="20"/>
      <c r="X6" s="20">
        <v>0.23</v>
      </c>
      <c r="Y6" s="20">
        <v>0.16</v>
      </c>
      <c r="Z6" s="20"/>
      <c r="AA6" s="190">
        <f t="shared" si="3"/>
        <v>0.17725000000000002</v>
      </c>
      <c r="AB6" s="190">
        <f t="shared" si="4"/>
        <v>4.2625305473001113E-2</v>
      </c>
      <c r="AC6" s="191">
        <f t="shared" si="5"/>
        <v>4</v>
      </c>
    </row>
    <row r="7" spans="1:29" ht="25.5">
      <c r="A7" s="246"/>
      <c r="G7" s="4">
        <v>20</v>
      </c>
      <c r="H7" s="11" t="s">
        <v>418</v>
      </c>
      <c r="I7" s="11">
        <v>0.12</v>
      </c>
      <c r="J7" s="20">
        <f>J6*DL_OH!$W$10</f>
        <v>0.15453797806900235</v>
      </c>
      <c r="K7" s="20">
        <f>K6*DL_OH!$W$15</f>
        <v>0.22306762213588671</v>
      </c>
      <c r="L7" s="20">
        <f>L6*DL_OH!$W$17</f>
        <v>0.15001168316831687</v>
      </c>
      <c r="M7" s="20">
        <f>M6*DL_OH!$W$20</f>
        <v>0.24592079207920794</v>
      </c>
      <c r="N7" s="20">
        <f>N6*DL_OH!$W$8</f>
        <v>0.16931538760191531</v>
      </c>
      <c r="O7" s="27">
        <f t="shared" si="0"/>
        <v>0.18857069261086584</v>
      </c>
      <c r="P7" s="27">
        <f t="shared" si="1"/>
        <v>4.328643463877916E-2</v>
      </c>
      <c r="Q7" s="11">
        <f t="shared" si="2"/>
        <v>5</v>
      </c>
      <c r="T7" s="246"/>
      <c r="U7" s="20">
        <f>U6*DL_OH!$W$10</f>
        <v>0.14557925470268337</v>
      </c>
      <c r="V7" s="20">
        <f>V6*DL_OH!$W$15</f>
        <v>0.21185819388785218</v>
      </c>
      <c r="W7" s="20"/>
      <c r="X7" s="20">
        <f>X6*DL_OH!$W$20</f>
        <v>0.25709900990099016</v>
      </c>
      <c r="Y7" s="20">
        <f>Y6*DL_OH!$W$8</f>
        <v>0.18060308010870965</v>
      </c>
      <c r="Z7" s="20"/>
      <c r="AA7" s="190">
        <f t="shared" si="3"/>
        <v>0.19878488465005884</v>
      </c>
      <c r="AB7" s="190">
        <f t="shared" si="4"/>
        <v>4.7373922829214779E-2</v>
      </c>
      <c r="AC7" s="191">
        <f t="shared" si="5"/>
        <v>4</v>
      </c>
    </row>
    <row r="8" spans="1:29" ht="25.5">
      <c r="A8" s="246"/>
      <c r="G8" s="4">
        <v>40</v>
      </c>
      <c r="H8" s="11" t="s">
        <v>418</v>
      </c>
      <c r="I8" s="11">
        <v>0.12</v>
      </c>
      <c r="J8" s="20">
        <f>J6*DL_OH!$AA$10</f>
        <v>0.16451858785771592</v>
      </c>
      <c r="K8" s="20">
        <f>K6*DL_OH!$AA$15</f>
        <v>0.23757911682829091</v>
      </c>
      <c r="L8" s="20">
        <f>L6*DL_OH!$AA$17</f>
        <v>0.15957450786255101</v>
      </c>
      <c r="M8" s="20">
        <f>M6*DL_OH!$AA$20</f>
        <v>0.26159755387303441</v>
      </c>
      <c r="N8" s="20">
        <f>N6*DL_OH!$AA$8</f>
        <v>0.18087064837582492</v>
      </c>
      <c r="O8" s="27">
        <f t="shared" si="0"/>
        <v>0.20082808295948343</v>
      </c>
      <c r="P8" s="27">
        <f t="shared" si="1"/>
        <v>4.5994845291411991E-2</v>
      </c>
      <c r="Q8" s="11">
        <f t="shared" si="2"/>
        <v>5</v>
      </c>
      <c r="T8" s="246"/>
      <c r="U8" s="20">
        <f>U6*DL_OH!$AA$10</f>
        <v>0.15498127841668891</v>
      </c>
      <c r="V8" s="20">
        <f>V6*DL_OH!$AA$15</f>
        <v>0.22564046774144211</v>
      </c>
      <c r="W8" s="20"/>
      <c r="X8" s="20">
        <f>X6*DL_OH!$AA$20</f>
        <v>0.27348835177635417</v>
      </c>
      <c r="Y8" s="20">
        <f>Y6*DL_OH!$AA$8</f>
        <v>0.19292869160087991</v>
      </c>
      <c r="Z8" s="20"/>
      <c r="AA8" s="190">
        <f t="shared" si="3"/>
        <v>0.21175969738384126</v>
      </c>
      <c r="AB8" s="190">
        <f t="shared" si="4"/>
        <v>5.0270926647643266E-2</v>
      </c>
      <c r="AC8" s="191">
        <f t="shared" si="5"/>
        <v>4</v>
      </c>
    </row>
    <row r="9" spans="1:29">
      <c r="A9" s="246"/>
      <c r="O9" s="5"/>
      <c r="T9" s="246"/>
      <c r="AA9" s="5"/>
    </row>
    <row r="10" spans="1:29">
      <c r="A10" s="246"/>
      <c r="O10" s="5"/>
      <c r="T10" s="246"/>
      <c r="AA10" s="5"/>
    </row>
    <row r="11" spans="1:29" ht="25.5">
      <c r="A11" s="246"/>
      <c r="B11" s="3" t="s">
        <v>413</v>
      </c>
      <c r="C11" s="3" t="s">
        <v>420</v>
      </c>
      <c r="D11" s="29" t="s">
        <v>421</v>
      </c>
      <c r="E11" s="3" t="s">
        <v>416</v>
      </c>
      <c r="G11" s="4">
        <v>10</v>
      </c>
      <c r="H11" s="3" t="s">
        <v>417</v>
      </c>
      <c r="I11" s="17">
        <v>3.3</v>
      </c>
      <c r="J11" s="2">
        <v>7.476</v>
      </c>
      <c r="O11" s="5">
        <f t="shared" ref="O11:O16" si="6">AVERAGE(J11:N11)</f>
        <v>7.476</v>
      </c>
      <c r="P11" s="5" t="e">
        <f t="shared" ref="P11:P16" si="7">SQRT(VAR(J11:N11))</f>
        <v>#DIV/0!</v>
      </c>
      <c r="Q11" s="3">
        <f t="shared" ref="Q11:Q16" si="8">COUNT(J11:N11)</f>
        <v>1</v>
      </c>
      <c r="T11" s="246"/>
      <c r="U11" s="2">
        <v>7.4560000000000004</v>
      </c>
      <c r="AA11" s="5">
        <f t="shared" ref="AA11:AA16" si="9">AVERAGE(U11:Z11)</f>
        <v>7.4560000000000004</v>
      </c>
      <c r="AB11" s="5" t="e">
        <f t="shared" ref="AB11:AB16" si="10">SQRT(VAR(U11:Z11))</f>
        <v>#DIV/0!</v>
      </c>
      <c r="AC11" s="3">
        <f t="shared" ref="AC11:AC16" si="11">COUNT(U11:Z11)</f>
        <v>1</v>
      </c>
    </row>
    <row r="12" spans="1:29" ht="25.5">
      <c r="A12" s="246"/>
      <c r="D12" s="29"/>
      <c r="G12" s="4">
        <v>20</v>
      </c>
      <c r="H12" s="3" t="s">
        <v>417</v>
      </c>
      <c r="I12" s="17">
        <v>3.3</v>
      </c>
      <c r="J12" s="2">
        <f>J11*DL_OH!$W$11</f>
        <v>8.3916771482863002</v>
      </c>
      <c r="O12" s="5">
        <f t="shared" si="6"/>
        <v>8.3916771482863002</v>
      </c>
      <c r="P12" s="5" t="e">
        <f t="shared" si="7"/>
        <v>#DIV/0!</v>
      </c>
      <c r="Q12" s="3">
        <f t="shared" si="8"/>
        <v>1</v>
      </c>
      <c r="T12" s="246"/>
      <c r="U12" s="2">
        <f>U11*DL_OH!$W$11</f>
        <v>8.3692275036948445</v>
      </c>
      <c r="AA12" s="5">
        <f t="shared" si="9"/>
        <v>8.3692275036948445</v>
      </c>
      <c r="AB12" s="5" t="e">
        <f t="shared" si="10"/>
        <v>#DIV/0!</v>
      </c>
      <c r="AC12" s="3">
        <f t="shared" si="11"/>
        <v>1</v>
      </c>
    </row>
    <row r="13" spans="1:29" ht="25.5">
      <c r="A13" s="246"/>
      <c r="D13" s="29"/>
      <c r="G13" s="4">
        <v>40</v>
      </c>
      <c r="H13" s="3" t="s">
        <v>417</v>
      </c>
      <c r="I13" s="17">
        <v>3.3</v>
      </c>
      <c r="J13" s="2">
        <f>J11*DL_OH!$AA$11</f>
        <v>8.9427881483566782</v>
      </c>
      <c r="O13" s="5">
        <f t="shared" si="6"/>
        <v>8.9427881483566782</v>
      </c>
      <c r="P13" s="5" t="e">
        <f t="shared" si="7"/>
        <v>#DIV/0!</v>
      </c>
      <c r="Q13" s="3">
        <f t="shared" si="8"/>
        <v>1</v>
      </c>
      <c r="T13" s="246"/>
      <c r="U13" s="2">
        <f>U11*DL_OH!$AA$11</f>
        <v>8.9188641565205184</v>
      </c>
      <c r="AA13" s="5">
        <f t="shared" si="9"/>
        <v>8.9188641565205184</v>
      </c>
      <c r="AB13" s="5" t="e">
        <f t="shared" si="10"/>
        <v>#DIV/0!</v>
      </c>
      <c r="AC13" s="3">
        <f t="shared" si="11"/>
        <v>1</v>
      </c>
    </row>
    <row r="14" spans="1:29" ht="25.5">
      <c r="A14" s="246"/>
      <c r="G14" s="4">
        <v>10</v>
      </c>
      <c r="H14" s="11" t="s">
        <v>418</v>
      </c>
      <c r="I14" s="11">
        <v>0.12</v>
      </c>
      <c r="J14" s="20">
        <v>0.151</v>
      </c>
      <c r="K14" s="20"/>
      <c r="L14" s="20"/>
      <c r="M14" s="20"/>
      <c r="N14" s="20"/>
      <c r="O14" s="27">
        <f t="shared" si="6"/>
        <v>0.151</v>
      </c>
      <c r="P14" s="27" t="e">
        <f t="shared" si="7"/>
        <v>#DIV/0!</v>
      </c>
      <c r="Q14" s="11">
        <f t="shared" si="8"/>
        <v>1</v>
      </c>
      <c r="T14" s="246"/>
      <c r="U14" s="20">
        <v>0.156</v>
      </c>
      <c r="V14" s="20"/>
      <c r="W14" s="20"/>
      <c r="X14" s="20"/>
      <c r="Y14" s="20"/>
      <c r="Z14" s="20"/>
      <c r="AA14" s="190">
        <f t="shared" si="9"/>
        <v>0.156</v>
      </c>
      <c r="AB14" s="190" t="e">
        <f t="shared" si="10"/>
        <v>#DIV/0!</v>
      </c>
      <c r="AC14" s="191">
        <f t="shared" si="11"/>
        <v>1</v>
      </c>
    </row>
    <row r="15" spans="1:29" ht="25.5">
      <c r="A15" s="246"/>
      <c r="G15" s="4">
        <v>20</v>
      </c>
      <c r="H15" s="11" t="s">
        <v>418</v>
      </c>
      <c r="I15" s="11">
        <v>0.12</v>
      </c>
      <c r="J15" s="20">
        <f>J14*DL_OH!$W$11</f>
        <v>0.16949481666549374</v>
      </c>
      <c r="K15" s="20"/>
      <c r="L15" s="20"/>
      <c r="M15" s="20"/>
      <c r="N15" s="20"/>
      <c r="O15" s="27">
        <f t="shared" si="6"/>
        <v>0.16949481666549374</v>
      </c>
      <c r="P15" s="27" t="e">
        <f t="shared" si="7"/>
        <v>#DIV/0!</v>
      </c>
      <c r="Q15" s="11">
        <f t="shared" si="8"/>
        <v>1</v>
      </c>
      <c r="T15" s="246"/>
      <c r="U15" s="20">
        <f>U14*DL_OH!$W$11</f>
        <v>0.17510722781335777</v>
      </c>
      <c r="V15" s="20"/>
      <c r="W15" s="20"/>
      <c r="X15" s="20"/>
      <c r="Y15" s="20"/>
      <c r="Z15" s="20"/>
      <c r="AA15" s="190">
        <f t="shared" si="9"/>
        <v>0.17510722781335777</v>
      </c>
      <c r="AB15" s="190" t="e">
        <f t="shared" si="10"/>
        <v>#DIV/0!</v>
      </c>
      <c r="AC15" s="191">
        <f t="shared" si="11"/>
        <v>1</v>
      </c>
    </row>
    <row r="16" spans="1:29" ht="25.5">
      <c r="A16" s="246"/>
      <c r="G16" s="4">
        <v>40</v>
      </c>
      <c r="H16" s="11" t="s">
        <v>418</v>
      </c>
      <c r="I16" s="11">
        <v>0.12</v>
      </c>
      <c r="J16" s="20">
        <f>J14*DL_OH!$AA$11</f>
        <v>0.18062613836300942</v>
      </c>
      <c r="K16" s="20"/>
      <c r="L16" s="20"/>
      <c r="M16" s="20"/>
      <c r="N16" s="20"/>
      <c r="O16" s="27">
        <f t="shared" si="6"/>
        <v>0.18062613836300942</v>
      </c>
      <c r="P16" s="27" t="e">
        <f t="shared" si="7"/>
        <v>#DIV/0!</v>
      </c>
      <c r="Q16" s="11">
        <f t="shared" si="8"/>
        <v>1</v>
      </c>
      <c r="T16" s="246"/>
      <c r="U16" s="20">
        <f>U14*DL_OH!$AA$11</f>
        <v>0.18660713632204948</v>
      </c>
      <c r="V16" s="20"/>
      <c r="W16" s="20"/>
      <c r="X16" s="20"/>
      <c r="Y16" s="20"/>
      <c r="Z16" s="20"/>
      <c r="AA16" s="190">
        <f t="shared" si="9"/>
        <v>0.18660713632204948</v>
      </c>
      <c r="AB16" s="190" t="e">
        <f t="shared" si="10"/>
        <v>#DIV/0!</v>
      </c>
      <c r="AC16" s="191">
        <f t="shared" si="11"/>
        <v>1</v>
      </c>
    </row>
    <row r="17" spans="1:29">
      <c r="A17" s="246"/>
      <c r="O17" s="5"/>
      <c r="T17" s="246"/>
      <c r="AA17" s="5"/>
    </row>
    <row r="18" spans="1:29" ht="25.5">
      <c r="A18" s="246"/>
      <c r="B18" s="3" t="s">
        <v>413</v>
      </c>
      <c r="C18" s="3" t="s">
        <v>414</v>
      </c>
      <c r="D18" s="3" t="s">
        <v>422</v>
      </c>
      <c r="E18" s="3" t="s">
        <v>416</v>
      </c>
      <c r="G18" s="4">
        <v>10</v>
      </c>
      <c r="H18" s="3" t="s">
        <v>417</v>
      </c>
      <c r="I18" s="17">
        <v>3.3</v>
      </c>
      <c r="O18" s="5" t="e">
        <f t="shared" ref="O18:O37" si="12">AVERAGE(J18:N18)</f>
        <v>#DIV/0!</v>
      </c>
      <c r="P18" s="5" t="e">
        <f t="shared" ref="P18:P37" si="13">SQRT(VAR(J18:N18))</f>
        <v>#DIV/0!</v>
      </c>
      <c r="Q18" s="3">
        <f t="shared" ref="Q18:Q37" si="14">COUNT(J18:N18)</f>
        <v>0</v>
      </c>
      <c r="T18" s="246"/>
      <c r="AA18" s="5" t="e">
        <f t="shared" ref="AA18:AA23" si="15">AVERAGE(U18:Z18)</f>
        <v>#DIV/0!</v>
      </c>
      <c r="AB18" s="5" t="e">
        <f t="shared" ref="AB18:AB23" si="16">SQRT(VAR(U18:Z18))</f>
        <v>#DIV/0!</v>
      </c>
      <c r="AC18" s="3">
        <f t="shared" ref="AC18:AC23" si="17">COUNT(U18:Z18)</f>
        <v>0</v>
      </c>
    </row>
    <row r="19" spans="1:29" ht="25.5">
      <c r="A19" s="246"/>
      <c r="G19" s="4">
        <v>20</v>
      </c>
      <c r="H19" s="3" t="s">
        <v>417</v>
      </c>
      <c r="I19" s="17">
        <v>3.3</v>
      </c>
      <c r="O19" s="5" t="e">
        <f t="shared" si="12"/>
        <v>#DIV/0!</v>
      </c>
      <c r="P19" s="5" t="e">
        <f t="shared" si="13"/>
        <v>#DIV/0!</v>
      </c>
      <c r="Q19" s="3">
        <f t="shared" si="14"/>
        <v>0</v>
      </c>
      <c r="T19" s="246"/>
      <c r="AA19" s="5" t="e">
        <f t="shared" si="15"/>
        <v>#DIV/0!</v>
      </c>
      <c r="AB19" s="5" t="e">
        <f t="shared" si="16"/>
        <v>#DIV/0!</v>
      </c>
      <c r="AC19" s="3">
        <f t="shared" si="17"/>
        <v>0</v>
      </c>
    </row>
    <row r="20" spans="1:29" ht="25.5">
      <c r="A20" s="246"/>
      <c r="G20" s="4">
        <v>40</v>
      </c>
      <c r="H20" s="3" t="s">
        <v>417</v>
      </c>
      <c r="I20" s="17">
        <v>3.3</v>
      </c>
      <c r="O20" s="5" t="e">
        <f t="shared" si="12"/>
        <v>#DIV/0!</v>
      </c>
      <c r="P20" s="5" t="e">
        <f t="shared" si="13"/>
        <v>#DIV/0!</v>
      </c>
      <c r="Q20" s="3">
        <f t="shared" si="14"/>
        <v>0</v>
      </c>
      <c r="T20" s="246"/>
      <c r="AA20" s="5" t="e">
        <f t="shared" si="15"/>
        <v>#DIV/0!</v>
      </c>
      <c r="AB20" s="5" t="e">
        <f t="shared" si="16"/>
        <v>#DIV/0!</v>
      </c>
      <c r="AC20" s="3">
        <f t="shared" si="17"/>
        <v>0</v>
      </c>
    </row>
    <row r="21" spans="1:29" ht="25.5">
      <c r="A21" s="246"/>
      <c r="G21" s="4">
        <v>10</v>
      </c>
      <c r="H21" s="11" t="s">
        <v>418</v>
      </c>
      <c r="I21" s="11">
        <v>0.12</v>
      </c>
      <c r="J21" s="20"/>
      <c r="K21" s="20"/>
      <c r="L21" s="20"/>
      <c r="M21" s="20"/>
      <c r="N21" s="20"/>
      <c r="O21" s="27" t="e">
        <f t="shared" si="12"/>
        <v>#DIV/0!</v>
      </c>
      <c r="P21" s="27" t="e">
        <f t="shared" si="13"/>
        <v>#DIV/0!</v>
      </c>
      <c r="Q21" s="11">
        <f t="shared" si="14"/>
        <v>0</v>
      </c>
      <c r="T21" s="246"/>
      <c r="U21" s="20"/>
      <c r="V21" s="20"/>
      <c r="W21" s="20"/>
      <c r="X21" s="20"/>
      <c r="Y21" s="20"/>
      <c r="Z21" s="20"/>
      <c r="AA21" s="190" t="e">
        <f t="shared" si="15"/>
        <v>#DIV/0!</v>
      </c>
      <c r="AB21" s="190" t="e">
        <f t="shared" si="16"/>
        <v>#DIV/0!</v>
      </c>
      <c r="AC21" s="191">
        <f t="shared" si="17"/>
        <v>0</v>
      </c>
    </row>
    <row r="22" spans="1:29" ht="25.5">
      <c r="A22" s="246"/>
      <c r="G22" s="4">
        <v>20</v>
      </c>
      <c r="H22" s="11" t="s">
        <v>418</v>
      </c>
      <c r="I22" s="11">
        <v>0.12</v>
      </c>
      <c r="J22" s="20"/>
      <c r="K22" s="20"/>
      <c r="L22" s="20"/>
      <c r="M22" s="20"/>
      <c r="N22" s="20"/>
      <c r="O22" s="27" t="e">
        <f t="shared" si="12"/>
        <v>#DIV/0!</v>
      </c>
      <c r="P22" s="27" t="e">
        <f t="shared" si="13"/>
        <v>#DIV/0!</v>
      </c>
      <c r="Q22" s="11">
        <f t="shared" si="14"/>
        <v>0</v>
      </c>
      <c r="T22" s="246"/>
      <c r="U22" s="20"/>
      <c r="V22" s="20"/>
      <c r="W22" s="20"/>
      <c r="X22" s="20"/>
      <c r="Y22" s="20"/>
      <c r="Z22" s="20"/>
      <c r="AA22" s="190" t="e">
        <f t="shared" si="15"/>
        <v>#DIV/0!</v>
      </c>
      <c r="AB22" s="190" t="e">
        <f t="shared" si="16"/>
        <v>#DIV/0!</v>
      </c>
      <c r="AC22" s="191">
        <f t="shared" si="17"/>
        <v>0</v>
      </c>
    </row>
    <row r="23" spans="1:29" ht="25.5">
      <c r="A23" s="246"/>
      <c r="G23" s="4">
        <v>40</v>
      </c>
      <c r="H23" s="11" t="s">
        <v>418</v>
      </c>
      <c r="I23" s="11">
        <v>0.12</v>
      </c>
      <c r="J23" s="20"/>
      <c r="K23" s="20"/>
      <c r="L23" s="20"/>
      <c r="M23" s="20"/>
      <c r="N23" s="20"/>
      <c r="O23" s="27" t="e">
        <f t="shared" si="12"/>
        <v>#DIV/0!</v>
      </c>
      <c r="P23" s="27" t="e">
        <f t="shared" si="13"/>
        <v>#DIV/0!</v>
      </c>
      <c r="Q23" s="11">
        <f t="shared" si="14"/>
        <v>0</v>
      </c>
      <c r="T23" s="246"/>
      <c r="U23" s="20"/>
      <c r="V23" s="20"/>
      <c r="W23" s="20"/>
      <c r="X23" s="20"/>
      <c r="Y23" s="20"/>
      <c r="Z23" s="20"/>
      <c r="AA23" s="190" t="e">
        <f t="shared" si="15"/>
        <v>#DIV/0!</v>
      </c>
      <c r="AB23" s="190" t="e">
        <f t="shared" si="16"/>
        <v>#DIV/0!</v>
      </c>
      <c r="AC23" s="191">
        <f t="shared" si="17"/>
        <v>0</v>
      </c>
    </row>
    <row r="24" spans="1:29">
      <c r="A24" s="246"/>
      <c r="O24" s="5" t="e">
        <f t="shared" si="12"/>
        <v>#DIV/0!</v>
      </c>
      <c r="P24" s="5" t="e">
        <f t="shared" si="13"/>
        <v>#DIV/0!</v>
      </c>
      <c r="Q24" s="3">
        <f t="shared" si="14"/>
        <v>0</v>
      </c>
      <c r="T24" s="246"/>
      <c r="AA24" s="5"/>
    </row>
    <row r="25" spans="1:29" ht="25.5">
      <c r="A25" s="246"/>
      <c r="B25" s="3" t="s">
        <v>413</v>
      </c>
      <c r="C25" s="3" t="s">
        <v>423</v>
      </c>
      <c r="D25" s="3" t="s">
        <v>424</v>
      </c>
      <c r="E25" s="3" t="s">
        <v>416</v>
      </c>
      <c r="G25" s="4">
        <v>10</v>
      </c>
      <c r="H25" s="3" t="s">
        <v>417</v>
      </c>
      <c r="I25" s="17">
        <v>3.3</v>
      </c>
      <c r="O25" s="5" t="e">
        <f t="shared" si="12"/>
        <v>#DIV/0!</v>
      </c>
      <c r="P25" s="5" t="e">
        <f t="shared" si="13"/>
        <v>#DIV/0!</v>
      </c>
      <c r="Q25" s="3">
        <f t="shared" si="14"/>
        <v>0</v>
      </c>
      <c r="T25" s="246"/>
      <c r="AA25" s="5" t="e">
        <f t="shared" ref="AA25:AA30" si="18">AVERAGE(U25:Z25)</f>
        <v>#DIV/0!</v>
      </c>
      <c r="AB25" s="5" t="e">
        <f t="shared" ref="AB25:AB30" si="19">SQRT(VAR(U25:Z25))</f>
        <v>#DIV/0!</v>
      </c>
      <c r="AC25" s="3">
        <f t="shared" ref="AC25:AC30" si="20">COUNT(U25:Z25)</f>
        <v>0</v>
      </c>
    </row>
    <row r="26" spans="1:29" ht="25.5">
      <c r="A26" s="246"/>
      <c r="G26" s="4">
        <v>20</v>
      </c>
      <c r="H26" s="3" t="s">
        <v>417</v>
      </c>
      <c r="I26" s="17">
        <v>3.3</v>
      </c>
      <c r="O26" s="5" t="e">
        <f t="shared" si="12"/>
        <v>#DIV/0!</v>
      </c>
      <c r="P26" s="5" t="e">
        <f t="shared" si="13"/>
        <v>#DIV/0!</v>
      </c>
      <c r="Q26" s="3">
        <f t="shared" si="14"/>
        <v>0</v>
      </c>
      <c r="T26" s="246"/>
      <c r="AA26" s="5" t="e">
        <f t="shared" si="18"/>
        <v>#DIV/0!</v>
      </c>
      <c r="AB26" s="5" t="e">
        <f t="shared" si="19"/>
        <v>#DIV/0!</v>
      </c>
      <c r="AC26" s="3">
        <f t="shared" si="20"/>
        <v>0</v>
      </c>
    </row>
    <row r="27" spans="1:29" ht="25.5">
      <c r="A27" s="246"/>
      <c r="G27" s="4">
        <v>40</v>
      </c>
      <c r="H27" s="3" t="s">
        <v>417</v>
      </c>
      <c r="I27" s="17">
        <v>3.3</v>
      </c>
      <c r="O27" s="5" t="e">
        <f t="shared" si="12"/>
        <v>#DIV/0!</v>
      </c>
      <c r="P27" s="5" t="e">
        <f t="shared" si="13"/>
        <v>#DIV/0!</v>
      </c>
      <c r="Q27" s="3">
        <f t="shared" si="14"/>
        <v>0</v>
      </c>
      <c r="T27" s="246"/>
      <c r="AA27" s="5" t="e">
        <f t="shared" si="18"/>
        <v>#DIV/0!</v>
      </c>
      <c r="AB27" s="5" t="e">
        <f t="shared" si="19"/>
        <v>#DIV/0!</v>
      </c>
      <c r="AC27" s="3">
        <f t="shared" si="20"/>
        <v>0</v>
      </c>
    </row>
    <row r="28" spans="1:29" ht="25.5">
      <c r="A28" s="246"/>
      <c r="G28" s="4">
        <v>10</v>
      </c>
      <c r="H28" s="11" t="s">
        <v>418</v>
      </c>
      <c r="I28" s="11">
        <v>0.12</v>
      </c>
      <c r="J28" s="20"/>
      <c r="K28" s="20"/>
      <c r="L28" s="20"/>
      <c r="M28" s="20"/>
      <c r="N28" s="20"/>
      <c r="O28" s="27" t="e">
        <f t="shared" si="12"/>
        <v>#DIV/0!</v>
      </c>
      <c r="P28" s="27" t="e">
        <f t="shared" si="13"/>
        <v>#DIV/0!</v>
      </c>
      <c r="Q28" s="11">
        <f t="shared" si="14"/>
        <v>0</v>
      </c>
      <c r="T28" s="246"/>
      <c r="U28" s="20"/>
      <c r="V28" s="20"/>
      <c r="W28" s="20"/>
      <c r="X28" s="20"/>
      <c r="Y28" s="20"/>
      <c r="Z28" s="20"/>
      <c r="AA28" s="190" t="e">
        <f t="shared" si="18"/>
        <v>#DIV/0!</v>
      </c>
      <c r="AB28" s="190" t="e">
        <f t="shared" si="19"/>
        <v>#DIV/0!</v>
      </c>
      <c r="AC28" s="191">
        <f t="shared" si="20"/>
        <v>0</v>
      </c>
    </row>
    <row r="29" spans="1:29" ht="25.5">
      <c r="A29" s="246"/>
      <c r="G29" s="4">
        <v>20</v>
      </c>
      <c r="H29" s="11" t="s">
        <v>418</v>
      </c>
      <c r="I29" s="11">
        <v>0.12</v>
      </c>
      <c r="J29" s="20"/>
      <c r="K29" s="20"/>
      <c r="L29" s="20"/>
      <c r="M29" s="20"/>
      <c r="N29" s="20"/>
      <c r="O29" s="27" t="e">
        <f t="shared" si="12"/>
        <v>#DIV/0!</v>
      </c>
      <c r="P29" s="27" t="e">
        <f t="shared" si="13"/>
        <v>#DIV/0!</v>
      </c>
      <c r="Q29" s="11">
        <f t="shared" si="14"/>
        <v>0</v>
      </c>
      <c r="T29" s="246"/>
      <c r="U29" s="20"/>
      <c r="V29" s="20"/>
      <c r="W29" s="20"/>
      <c r="X29" s="20"/>
      <c r="Y29" s="20"/>
      <c r="Z29" s="20"/>
      <c r="AA29" s="190" t="e">
        <f t="shared" si="18"/>
        <v>#DIV/0!</v>
      </c>
      <c r="AB29" s="190" t="e">
        <f t="shared" si="19"/>
        <v>#DIV/0!</v>
      </c>
      <c r="AC29" s="191">
        <f t="shared" si="20"/>
        <v>0</v>
      </c>
    </row>
    <row r="30" spans="1:29" ht="25.5">
      <c r="A30" s="246"/>
      <c r="G30" s="4">
        <v>40</v>
      </c>
      <c r="H30" s="11" t="s">
        <v>418</v>
      </c>
      <c r="I30" s="11">
        <v>0.12</v>
      </c>
      <c r="J30" s="20"/>
      <c r="K30" s="20"/>
      <c r="L30" s="20"/>
      <c r="M30" s="20"/>
      <c r="N30" s="20"/>
      <c r="O30" s="27" t="e">
        <f t="shared" si="12"/>
        <v>#DIV/0!</v>
      </c>
      <c r="P30" s="27" t="e">
        <f t="shared" si="13"/>
        <v>#DIV/0!</v>
      </c>
      <c r="Q30" s="11">
        <f t="shared" si="14"/>
        <v>0</v>
      </c>
      <c r="T30" s="246"/>
      <c r="U30" s="20"/>
      <c r="V30" s="20"/>
      <c r="W30" s="20"/>
      <c r="X30" s="20"/>
      <c r="Y30" s="20"/>
      <c r="Z30" s="20"/>
      <c r="AA30" s="190" t="e">
        <f t="shared" si="18"/>
        <v>#DIV/0!</v>
      </c>
      <c r="AB30" s="190" t="e">
        <f t="shared" si="19"/>
        <v>#DIV/0!</v>
      </c>
      <c r="AC30" s="191">
        <f t="shared" si="20"/>
        <v>0</v>
      </c>
    </row>
    <row r="31" spans="1:29">
      <c r="A31" s="246"/>
      <c r="O31" s="5" t="e">
        <f t="shared" si="12"/>
        <v>#DIV/0!</v>
      </c>
      <c r="P31" s="5" t="e">
        <f t="shared" si="13"/>
        <v>#DIV/0!</v>
      </c>
      <c r="Q31" s="3">
        <f t="shared" si="14"/>
        <v>0</v>
      </c>
      <c r="T31" s="246"/>
      <c r="AA31" s="5"/>
    </row>
    <row r="32" spans="1:29" ht="25.5">
      <c r="A32" s="246"/>
      <c r="B32" s="3" t="s">
        <v>413</v>
      </c>
      <c r="C32" s="3" t="s">
        <v>425</v>
      </c>
      <c r="D32" s="29" t="s">
        <v>421</v>
      </c>
      <c r="E32" s="3" t="s">
        <v>416</v>
      </c>
      <c r="G32" s="4">
        <v>10</v>
      </c>
      <c r="H32" s="3" t="s">
        <v>417</v>
      </c>
      <c r="I32" s="17">
        <v>3.3</v>
      </c>
      <c r="K32" s="2">
        <v>9.58</v>
      </c>
      <c r="O32" s="5">
        <f t="shared" si="12"/>
        <v>9.58</v>
      </c>
      <c r="P32" s="5" t="e">
        <f t="shared" si="13"/>
        <v>#DIV/0!</v>
      </c>
      <c r="Q32" s="3">
        <f t="shared" si="14"/>
        <v>1</v>
      </c>
      <c r="T32" s="246"/>
      <c r="V32" s="2">
        <v>10.02</v>
      </c>
      <c r="AA32" s="5">
        <f t="shared" ref="AA32:AA37" si="21">AVERAGE(U32:Z32)</f>
        <v>10.02</v>
      </c>
      <c r="AB32" s="5" t="e">
        <f t="shared" ref="AB32:AB37" si="22">SQRT(VAR(U32:Z32))</f>
        <v>#DIV/0!</v>
      </c>
      <c r="AC32" s="3">
        <f t="shared" ref="AC32:AC37" si="23">COUNT(U32:Z32)</f>
        <v>1</v>
      </c>
    </row>
    <row r="33" spans="1:29" ht="25.5">
      <c r="A33" s="246"/>
      <c r="D33" s="29"/>
      <c r="G33" s="4">
        <v>20</v>
      </c>
      <c r="H33" s="3" t="s">
        <v>417</v>
      </c>
      <c r="I33" s="17">
        <v>3.3</v>
      </c>
      <c r="K33" s="2">
        <f>K32*DL_OH!$W$16</f>
        <v>10.811966382684776</v>
      </c>
      <c r="O33" s="5">
        <f t="shared" si="12"/>
        <v>10.811966382684776</v>
      </c>
      <c r="P33" s="5" t="e">
        <f t="shared" si="13"/>
        <v>#DIV/0!</v>
      </c>
      <c r="Q33" s="3">
        <f t="shared" si="14"/>
        <v>1</v>
      </c>
      <c r="T33" s="246"/>
      <c r="V33" s="2">
        <f>V32*DL_OH!$W$15</f>
        <v>11.231847104530576</v>
      </c>
      <c r="AA33" s="5">
        <f t="shared" si="21"/>
        <v>11.231847104530576</v>
      </c>
      <c r="AB33" s="5" t="e">
        <f t="shared" si="22"/>
        <v>#DIV/0!</v>
      </c>
      <c r="AC33" s="3">
        <f t="shared" si="23"/>
        <v>1</v>
      </c>
    </row>
    <row r="34" spans="1:29" ht="25.5">
      <c r="A34" s="246"/>
      <c r="D34" s="29"/>
      <c r="G34" s="4">
        <v>40</v>
      </c>
      <c r="H34" s="3" t="s">
        <v>417</v>
      </c>
      <c r="I34" s="17">
        <v>3.3</v>
      </c>
      <c r="K34" s="2">
        <f>K32*DL_OH!$AA$16</f>
        <v>11.549271241077593</v>
      </c>
      <c r="O34" s="5">
        <f t="shared" si="12"/>
        <v>11.549271241077593</v>
      </c>
      <c r="P34" s="5" t="e">
        <f t="shared" si="13"/>
        <v>#DIV/0!</v>
      </c>
      <c r="Q34" s="3">
        <f t="shared" si="14"/>
        <v>1</v>
      </c>
      <c r="T34" s="246"/>
      <c r="V34" s="2">
        <f>V32*DL_OH!$AA$15</f>
        <v>11.962526385022487</v>
      </c>
      <c r="AA34" s="5">
        <f t="shared" si="21"/>
        <v>11.962526385022487</v>
      </c>
      <c r="AB34" s="5" t="e">
        <f t="shared" si="22"/>
        <v>#DIV/0!</v>
      </c>
      <c r="AC34" s="3">
        <f t="shared" si="23"/>
        <v>1</v>
      </c>
    </row>
    <row r="35" spans="1:29" ht="25.5">
      <c r="A35" s="246"/>
      <c r="G35" s="4">
        <v>10</v>
      </c>
      <c r="H35" s="11" t="s">
        <v>418</v>
      </c>
      <c r="I35" s="11">
        <v>0.12</v>
      </c>
      <c r="J35" s="20"/>
      <c r="K35" s="20">
        <v>0.251</v>
      </c>
      <c r="L35" s="20"/>
      <c r="M35" s="20"/>
      <c r="N35" s="20"/>
      <c r="O35" s="27">
        <f t="shared" si="12"/>
        <v>0.251</v>
      </c>
      <c r="P35" s="27" t="e">
        <f t="shared" si="13"/>
        <v>#DIV/0!</v>
      </c>
      <c r="Q35" s="11">
        <f t="shared" si="14"/>
        <v>1</v>
      </c>
      <c r="T35" s="246"/>
      <c r="U35" s="20"/>
      <c r="V35" s="20">
        <v>0.27</v>
      </c>
      <c r="W35" s="20"/>
      <c r="X35" s="20"/>
      <c r="Y35" s="20"/>
      <c r="Z35" s="20"/>
      <c r="AA35" s="190">
        <f t="shared" si="21"/>
        <v>0.27</v>
      </c>
      <c r="AB35" s="190" t="e">
        <f t="shared" si="22"/>
        <v>#DIV/0!</v>
      </c>
      <c r="AC35" s="191">
        <f t="shared" si="23"/>
        <v>1</v>
      </c>
    </row>
    <row r="36" spans="1:29" ht="25.5">
      <c r="A36" s="246"/>
      <c r="G36" s="4">
        <v>20</v>
      </c>
      <c r="H36" s="11" t="s">
        <v>418</v>
      </c>
      <c r="I36" s="11">
        <v>0.12</v>
      </c>
      <c r="J36" s="20"/>
      <c r="K36" s="20">
        <f>K35*DL_OH!$W$16</f>
        <v>0.28327803361731513</v>
      </c>
      <c r="L36" s="20"/>
      <c r="M36" s="20"/>
      <c r="N36" s="20"/>
      <c r="O36" s="27">
        <f t="shared" si="12"/>
        <v>0.28327803361731513</v>
      </c>
      <c r="P36" s="27" t="e">
        <f t="shared" si="13"/>
        <v>#DIV/0!</v>
      </c>
      <c r="Q36" s="11">
        <f t="shared" si="14"/>
        <v>1</v>
      </c>
      <c r="T36" s="246"/>
      <c r="U36" s="20"/>
      <c r="V36" s="20">
        <f>V35*DL_OH!$W$15</f>
        <v>0.30265456269693175</v>
      </c>
      <c r="W36" s="20"/>
      <c r="X36" s="20"/>
      <c r="Y36" s="20"/>
      <c r="Z36" s="20"/>
      <c r="AA36" s="190">
        <f t="shared" si="21"/>
        <v>0.30265456269693175</v>
      </c>
      <c r="AB36" s="190" t="e">
        <f t="shared" si="22"/>
        <v>#DIV/0!</v>
      </c>
      <c r="AC36" s="191">
        <f t="shared" si="23"/>
        <v>1</v>
      </c>
    </row>
    <row r="37" spans="1:29" ht="25.5">
      <c r="A37" s="246"/>
      <c r="G37" s="4">
        <v>40</v>
      </c>
      <c r="H37" s="11" t="s">
        <v>418</v>
      </c>
      <c r="I37" s="11">
        <v>0.12</v>
      </c>
      <c r="J37" s="20"/>
      <c r="K37" s="20">
        <f>K35*DL_OH!$AA$16</f>
        <v>0.30259572875892227</v>
      </c>
      <c r="L37" s="20"/>
      <c r="M37" s="20"/>
      <c r="N37" s="20"/>
      <c r="O37" s="27">
        <f t="shared" si="12"/>
        <v>0.30259572875892227</v>
      </c>
      <c r="P37" s="27" t="e">
        <f t="shared" si="13"/>
        <v>#DIV/0!</v>
      </c>
      <c r="Q37" s="11">
        <f t="shared" si="14"/>
        <v>1</v>
      </c>
      <c r="T37" s="246"/>
      <c r="U37" s="20"/>
      <c r="V37" s="20">
        <f>V35*DL_OH!$AA$15</f>
        <v>0.32234352534491734</v>
      </c>
      <c r="W37" s="20"/>
      <c r="X37" s="20"/>
      <c r="Y37" s="20"/>
      <c r="Z37" s="20"/>
      <c r="AA37" s="190">
        <f t="shared" si="21"/>
        <v>0.32234352534491734</v>
      </c>
      <c r="AB37" s="190" t="e">
        <f t="shared" si="22"/>
        <v>#DIV/0!</v>
      </c>
      <c r="AC37" s="191">
        <f t="shared" si="23"/>
        <v>1</v>
      </c>
    </row>
    <row r="38" spans="1:29">
      <c r="A38" s="246"/>
      <c r="O38" s="5"/>
      <c r="T38" s="246"/>
      <c r="AA38" s="5"/>
    </row>
    <row r="39" spans="1:29">
      <c r="A39" s="246"/>
      <c r="O39" s="5" t="e">
        <f t="shared" ref="O39:O45" si="24">AVERAGE(J39:N39)</f>
        <v>#DIV/0!</v>
      </c>
      <c r="P39" s="5" t="e">
        <f t="shared" ref="P39:P45" si="25">SQRT(VAR(J39:N39))</f>
        <v>#DIV/0!</v>
      </c>
      <c r="Q39" s="3">
        <f t="shared" ref="Q39:Q45" si="26">COUNT(J39:N39)</f>
        <v>0</v>
      </c>
      <c r="T39" s="246"/>
      <c r="AA39" s="5"/>
    </row>
    <row r="40" spans="1:29" ht="25.5">
      <c r="A40" s="246"/>
      <c r="B40" s="3" t="s">
        <v>413</v>
      </c>
      <c r="C40" s="3" t="s">
        <v>414</v>
      </c>
      <c r="D40" s="3" t="s">
        <v>426</v>
      </c>
      <c r="E40" s="3" t="s">
        <v>416</v>
      </c>
      <c r="G40" s="4">
        <v>10</v>
      </c>
      <c r="H40" s="3" t="s">
        <v>417</v>
      </c>
      <c r="I40" s="17">
        <v>3.3</v>
      </c>
      <c r="O40" s="5" t="e">
        <f t="shared" si="24"/>
        <v>#DIV/0!</v>
      </c>
      <c r="P40" s="5" t="e">
        <f t="shared" si="25"/>
        <v>#DIV/0!</v>
      </c>
      <c r="Q40" s="3">
        <f t="shared" si="26"/>
        <v>0</v>
      </c>
      <c r="T40" s="246"/>
      <c r="AA40" s="5" t="e">
        <f t="shared" ref="AA40:AA45" si="27">AVERAGE(U40:Z40)</f>
        <v>#DIV/0!</v>
      </c>
      <c r="AB40" s="5" t="e">
        <f t="shared" ref="AB40:AB45" si="28">SQRT(VAR(U40:Z40))</f>
        <v>#DIV/0!</v>
      </c>
      <c r="AC40" s="3">
        <f t="shared" ref="AC40:AC45" si="29">COUNT(U40:Z40)</f>
        <v>0</v>
      </c>
    </row>
    <row r="41" spans="1:29" ht="25.5">
      <c r="A41" s="246"/>
      <c r="G41" s="4">
        <v>20</v>
      </c>
      <c r="H41" s="3" t="s">
        <v>417</v>
      </c>
      <c r="I41" s="17">
        <v>3.3</v>
      </c>
      <c r="O41" s="5" t="e">
        <f t="shared" si="24"/>
        <v>#DIV/0!</v>
      </c>
      <c r="P41" s="5" t="e">
        <f t="shared" si="25"/>
        <v>#DIV/0!</v>
      </c>
      <c r="Q41" s="3">
        <f t="shared" si="26"/>
        <v>0</v>
      </c>
      <c r="T41" s="246"/>
      <c r="AA41" s="5" t="e">
        <f t="shared" si="27"/>
        <v>#DIV/0!</v>
      </c>
      <c r="AB41" s="5" t="e">
        <f t="shared" si="28"/>
        <v>#DIV/0!</v>
      </c>
      <c r="AC41" s="3">
        <f t="shared" si="29"/>
        <v>0</v>
      </c>
    </row>
    <row r="42" spans="1:29" ht="25.5">
      <c r="A42" s="246"/>
      <c r="G42" s="4">
        <v>40</v>
      </c>
      <c r="H42" s="3" t="s">
        <v>417</v>
      </c>
      <c r="I42" s="17">
        <v>3.3</v>
      </c>
      <c r="O42" s="5" t="e">
        <f t="shared" si="24"/>
        <v>#DIV/0!</v>
      </c>
      <c r="P42" s="5" t="e">
        <f t="shared" si="25"/>
        <v>#DIV/0!</v>
      </c>
      <c r="Q42" s="3">
        <f t="shared" si="26"/>
        <v>0</v>
      </c>
      <c r="T42" s="246"/>
      <c r="AA42" s="5" t="e">
        <f t="shared" si="27"/>
        <v>#DIV/0!</v>
      </c>
      <c r="AB42" s="5" t="e">
        <f t="shared" si="28"/>
        <v>#DIV/0!</v>
      </c>
      <c r="AC42" s="3">
        <f t="shared" si="29"/>
        <v>0</v>
      </c>
    </row>
    <row r="43" spans="1:29" ht="25.5">
      <c r="A43" s="246"/>
      <c r="G43" s="4">
        <v>10</v>
      </c>
      <c r="H43" s="11" t="s">
        <v>418</v>
      </c>
      <c r="I43" s="11">
        <v>0.12</v>
      </c>
      <c r="J43" s="20"/>
      <c r="K43" s="20"/>
      <c r="L43" s="20"/>
      <c r="M43" s="20"/>
      <c r="N43" s="20"/>
      <c r="O43" s="27" t="e">
        <f t="shared" si="24"/>
        <v>#DIV/0!</v>
      </c>
      <c r="P43" s="27" t="e">
        <f t="shared" si="25"/>
        <v>#DIV/0!</v>
      </c>
      <c r="Q43" s="11">
        <f t="shared" si="26"/>
        <v>0</v>
      </c>
      <c r="T43" s="246"/>
      <c r="U43" s="20"/>
      <c r="V43" s="20"/>
      <c r="W43" s="20"/>
      <c r="X43" s="20"/>
      <c r="Y43" s="20"/>
      <c r="Z43" s="20"/>
      <c r="AA43" s="190" t="e">
        <f t="shared" si="27"/>
        <v>#DIV/0!</v>
      </c>
      <c r="AB43" s="190" t="e">
        <f t="shared" si="28"/>
        <v>#DIV/0!</v>
      </c>
      <c r="AC43" s="191">
        <f t="shared" si="29"/>
        <v>0</v>
      </c>
    </row>
    <row r="44" spans="1:29" ht="25.5">
      <c r="A44" s="246"/>
      <c r="G44" s="4">
        <v>20</v>
      </c>
      <c r="H44" s="11" t="s">
        <v>418</v>
      </c>
      <c r="I44" s="11">
        <v>0.12</v>
      </c>
      <c r="J44" s="20"/>
      <c r="K44" s="20"/>
      <c r="L44" s="20"/>
      <c r="M44" s="20"/>
      <c r="N44" s="20"/>
      <c r="O44" s="27" t="e">
        <f t="shared" si="24"/>
        <v>#DIV/0!</v>
      </c>
      <c r="P44" s="27" t="e">
        <f t="shared" si="25"/>
        <v>#DIV/0!</v>
      </c>
      <c r="Q44" s="11">
        <f t="shared" si="26"/>
        <v>0</v>
      </c>
      <c r="T44" s="246"/>
      <c r="U44" s="20"/>
      <c r="V44" s="20"/>
      <c r="W44" s="20"/>
      <c r="X44" s="20"/>
      <c r="Y44" s="20"/>
      <c r="Z44" s="20"/>
      <c r="AA44" s="190" t="e">
        <f t="shared" si="27"/>
        <v>#DIV/0!</v>
      </c>
      <c r="AB44" s="190" t="e">
        <f t="shared" si="28"/>
        <v>#DIV/0!</v>
      </c>
      <c r="AC44" s="191">
        <f t="shared" si="29"/>
        <v>0</v>
      </c>
    </row>
    <row r="45" spans="1:29" ht="25.5">
      <c r="A45" s="246"/>
      <c r="G45" s="4">
        <v>40</v>
      </c>
      <c r="H45" s="11" t="s">
        <v>418</v>
      </c>
      <c r="I45" s="11">
        <v>0.12</v>
      </c>
      <c r="J45" s="20"/>
      <c r="K45" s="20"/>
      <c r="L45" s="20"/>
      <c r="M45" s="20"/>
      <c r="N45" s="20"/>
      <c r="O45" s="27" t="e">
        <f t="shared" si="24"/>
        <v>#DIV/0!</v>
      </c>
      <c r="P45" s="27" t="e">
        <f t="shared" si="25"/>
        <v>#DIV/0!</v>
      </c>
      <c r="Q45" s="11">
        <f t="shared" si="26"/>
        <v>0</v>
      </c>
      <c r="T45" s="246"/>
      <c r="U45" s="20"/>
      <c r="V45" s="20"/>
      <c r="W45" s="20"/>
      <c r="X45" s="20"/>
      <c r="Y45" s="20"/>
      <c r="Z45" s="20"/>
      <c r="AA45" s="190" t="e">
        <f t="shared" si="27"/>
        <v>#DIV/0!</v>
      </c>
      <c r="AB45" s="190" t="e">
        <f t="shared" si="28"/>
        <v>#DIV/0!</v>
      </c>
      <c r="AC45" s="191">
        <f t="shared" si="29"/>
        <v>0</v>
      </c>
    </row>
    <row r="46" spans="1:29">
      <c r="A46" s="246"/>
      <c r="O46" s="5"/>
      <c r="T46" s="246"/>
      <c r="AA46" s="5"/>
    </row>
    <row r="47" spans="1:29" ht="25.5">
      <c r="A47" s="246"/>
      <c r="B47" s="3" t="s">
        <v>413</v>
      </c>
      <c r="C47" s="3" t="s">
        <v>414</v>
      </c>
      <c r="D47" s="3" t="s">
        <v>427</v>
      </c>
      <c r="E47" s="3" t="s">
        <v>416</v>
      </c>
      <c r="G47" s="4">
        <v>10</v>
      </c>
      <c r="H47" s="3" t="s">
        <v>417</v>
      </c>
      <c r="I47" s="17">
        <v>3.3</v>
      </c>
      <c r="O47" s="5" t="e">
        <f t="shared" ref="O47:O52" si="30">AVERAGE(J47:N47)</f>
        <v>#DIV/0!</v>
      </c>
      <c r="P47" s="5" t="e">
        <f t="shared" ref="P47:P52" si="31">SQRT(VAR(J47:N47))</f>
        <v>#DIV/0!</v>
      </c>
      <c r="Q47" s="3">
        <f t="shared" ref="Q47:Q52" si="32">COUNT(J47:N47)</f>
        <v>0</v>
      </c>
      <c r="T47" s="246"/>
      <c r="AA47" s="5" t="e">
        <f t="shared" ref="AA47:AA52" si="33">AVERAGE(U47:Z47)</f>
        <v>#DIV/0!</v>
      </c>
      <c r="AB47" s="5" t="e">
        <f t="shared" ref="AB47:AB52" si="34">SQRT(VAR(U47:Z47))</f>
        <v>#DIV/0!</v>
      </c>
      <c r="AC47" s="3">
        <f t="shared" ref="AC47:AC52" si="35">COUNT(U47:Z47)</f>
        <v>0</v>
      </c>
    </row>
    <row r="48" spans="1:29" ht="25.5">
      <c r="A48" s="246"/>
      <c r="G48" s="4">
        <v>20</v>
      </c>
      <c r="H48" s="3" t="s">
        <v>417</v>
      </c>
      <c r="I48" s="17">
        <v>3.3</v>
      </c>
      <c r="O48" s="5" t="e">
        <f t="shared" si="30"/>
        <v>#DIV/0!</v>
      </c>
      <c r="P48" s="5" t="e">
        <f t="shared" si="31"/>
        <v>#DIV/0!</v>
      </c>
      <c r="Q48" s="3">
        <f t="shared" si="32"/>
        <v>0</v>
      </c>
      <c r="T48" s="246"/>
      <c r="AA48" s="5" t="e">
        <f t="shared" si="33"/>
        <v>#DIV/0!</v>
      </c>
      <c r="AB48" s="5" t="e">
        <f t="shared" si="34"/>
        <v>#DIV/0!</v>
      </c>
      <c r="AC48" s="3">
        <f t="shared" si="35"/>
        <v>0</v>
      </c>
    </row>
    <row r="49" spans="1:29" ht="25.5">
      <c r="A49" s="246"/>
      <c r="G49" s="4">
        <v>40</v>
      </c>
      <c r="H49" s="3" t="s">
        <v>417</v>
      </c>
      <c r="I49" s="17">
        <v>3.3</v>
      </c>
      <c r="O49" s="5" t="e">
        <f t="shared" si="30"/>
        <v>#DIV/0!</v>
      </c>
      <c r="P49" s="5" t="e">
        <f t="shared" si="31"/>
        <v>#DIV/0!</v>
      </c>
      <c r="Q49" s="3">
        <f t="shared" si="32"/>
        <v>0</v>
      </c>
      <c r="T49" s="246"/>
      <c r="AA49" s="5" t="e">
        <f t="shared" si="33"/>
        <v>#DIV/0!</v>
      </c>
      <c r="AB49" s="5" t="e">
        <f t="shared" si="34"/>
        <v>#DIV/0!</v>
      </c>
      <c r="AC49" s="3">
        <f t="shared" si="35"/>
        <v>0</v>
      </c>
    </row>
    <row r="50" spans="1:29" ht="25.5">
      <c r="A50" s="246"/>
      <c r="G50" s="4">
        <v>10</v>
      </c>
      <c r="H50" s="11" t="s">
        <v>418</v>
      </c>
      <c r="I50" s="11">
        <v>0.12</v>
      </c>
      <c r="J50" s="20"/>
      <c r="K50" s="20"/>
      <c r="L50" s="20"/>
      <c r="M50" s="20"/>
      <c r="N50" s="20"/>
      <c r="O50" s="27" t="e">
        <f t="shared" si="30"/>
        <v>#DIV/0!</v>
      </c>
      <c r="P50" s="27" t="e">
        <f t="shared" si="31"/>
        <v>#DIV/0!</v>
      </c>
      <c r="Q50" s="11">
        <f t="shared" si="32"/>
        <v>0</v>
      </c>
      <c r="T50" s="246"/>
      <c r="U50" s="20"/>
      <c r="V50" s="20"/>
      <c r="W50" s="20"/>
      <c r="X50" s="20"/>
      <c r="Y50" s="20"/>
      <c r="Z50" s="20"/>
      <c r="AA50" s="190" t="e">
        <f t="shared" si="33"/>
        <v>#DIV/0!</v>
      </c>
      <c r="AB50" s="190" t="e">
        <f t="shared" si="34"/>
        <v>#DIV/0!</v>
      </c>
      <c r="AC50" s="191">
        <f t="shared" si="35"/>
        <v>0</v>
      </c>
    </row>
    <row r="51" spans="1:29" ht="25.5">
      <c r="A51" s="246"/>
      <c r="G51" s="4">
        <v>20</v>
      </c>
      <c r="H51" s="11" t="s">
        <v>418</v>
      </c>
      <c r="I51" s="11">
        <v>0.12</v>
      </c>
      <c r="J51" s="20"/>
      <c r="K51" s="20"/>
      <c r="L51" s="20"/>
      <c r="M51" s="20"/>
      <c r="N51" s="20"/>
      <c r="O51" s="27" t="e">
        <f t="shared" si="30"/>
        <v>#DIV/0!</v>
      </c>
      <c r="P51" s="27" t="e">
        <f t="shared" si="31"/>
        <v>#DIV/0!</v>
      </c>
      <c r="Q51" s="11">
        <f t="shared" si="32"/>
        <v>0</v>
      </c>
      <c r="T51" s="246"/>
      <c r="U51" s="20"/>
      <c r="V51" s="20"/>
      <c r="W51" s="20"/>
      <c r="X51" s="20"/>
      <c r="Y51" s="20"/>
      <c r="Z51" s="20"/>
      <c r="AA51" s="190" t="e">
        <f t="shared" si="33"/>
        <v>#DIV/0!</v>
      </c>
      <c r="AB51" s="190" t="e">
        <f t="shared" si="34"/>
        <v>#DIV/0!</v>
      </c>
      <c r="AC51" s="191">
        <f t="shared" si="35"/>
        <v>0</v>
      </c>
    </row>
    <row r="52" spans="1:29" ht="25.5">
      <c r="A52" s="246"/>
      <c r="G52" s="4">
        <v>40</v>
      </c>
      <c r="H52" s="11" t="s">
        <v>418</v>
      </c>
      <c r="I52" s="11">
        <v>0.12</v>
      </c>
      <c r="J52" s="20"/>
      <c r="K52" s="20"/>
      <c r="L52" s="20"/>
      <c r="M52" s="20"/>
      <c r="N52" s="20"/>
      <c r="O52" s="27" t="e">
        <f t="shared" si="30"/>
        <v>#DIV/0!</v>
      </c>
      <c r="P52" s="27" t="e">
        <f t="shared" si="31"/>
        <v>#DIV/0!</v>
      </c>
      <c r="Q52" s="11">
        <f t="shared" si="32"/>
        <v>0</v>
      </c>
      <c r="T52" s="246"/>
      <c r="U52" s="20"/>
      <c r="V52" s="20"/>
      <c r="W52" s="20"/>
      <c r="X52" s="20"/>
      <c r="Y52" s="20"/>
      <c r="Z52" s="20"/>
      <c r="AA52" s="190" t="e">
        <f t="shared" si="33"/>
        <v>#DIV/0!</v>
      </c>
      <c r="AB52" s="190" t="e">
        <f t="shared" si="34"/>
        <v>#DIV/0!</v>
      </c>
      <c r="AC52" s="191">
        <f t="shared" si="35"/>
        <v>0</v>
      </c>
    </row>
    <row r="53" spans="1:29">
      <c r="A53" s="246"/>
      <c r="O53" s="5"/>
      <c r="T53" s="246"/>
      <c r="AA53" s="5"/>
    </row>
    <row r="54" spans="1:29">
      <c r="A54" s="246"/>
      <c r="B54" s="9" t="s">
        <v>50</v>
      </c>
      <c r="C54" s="9"/>
      <c r="D54" s="9" t="s">
        <v>50</v>
      </c>
      <c r="E54" s="9"/>
      <c r="F54" s="9"/>
      <c r="G54" s="10"/>
      <c r="H54" s="13"/>
      <c r="I54" s="13"/>
      <c r="J54" s="16"/>
      <c r="K54" s="16"/>
      <c r="L54" s="16"/>
      <c r="M54" s="16"/>
      <c r="N54" s="16"/>
      <c r="O54" s="26"/>
      <c r="P54" s="26"/>
      <c r="Q54" s="13"/>
      <c r="T54" s="246"/>
      <c r="U54" s="16"/>
      <c r="V54" s="16"/>
      <c r="W54" s="16"/>
      <c r="X54" s="16"/>
      <c r="Y54" s="16"/>
      <c r="Z54" s="16"/>
      <c r="AA54" s="26"/>
      <c r="AB54" s="26"/>
      <c r="AC54" s="13"/>
    </row>
    <row r="55" spans="1:29" ht="31.5" customHeight="1">
      <c r="A55" s="246"/>
      <c r="B55" s="3" t="s">
        <v>413</v>
      </c>
      <c r="C55" s="3" t="s">
        <v>414</v>
      </c>
      <c r="D55" s="29" t="s">
        <v>428</v>
      </c>
      <c r="E55" s="3" t="s">
        <v>429</v>
      </c>
      <c r="F55" s="3" t="s">
        <v>69</v>
      </c>
      <c r="G55" s="4">
        <v>20</v>
      </c>
      <c r="H55" s="3" t="s">
        <v>417</v>
      </c>
      <c r="I55" s="17">
        <v>3.3</v>
      </c>
      <c r="J55" s="2">
        <f>DL_OH!S54*7.672</f>
        <v>7.8167547169811336</v>
      </c>
      <c r="L55" s="2">
        <f>DL_OH!S65*7.6963</f>
        <v>7.768228037383178</v>
      </c>
      <c r="O55" s="5">
        <f t="shared" ref="O55:O60" si="36">AVERAGE(J55:N55)</f>
        <v>7.7924913771821558</v>
      </c>
      <c r="P55" s="5">
        <f t="shared" ref="P55:P60" si="37">SQRT(VAR(J55:N55))</f>
        <v>3.4313544212181246E-2</v>
      </c>
      <c r="Q55" s="3">
        <f t="shared" ref="Q55:Q60" si="38">COUNT(J55:N55)</f>
        <v>2</v>
      </c>
      <c r="T55" s="246"/>
      <c r="U55" s="2">
        <f>DL_OH!S54*7.604</f>
        <v>7.747471698113209</v>
      </c>
      <c r="Y55" s="2">
        <f>DL_OH!S61*5.17</f>
        <v>5.0724528301886807</v>
      </c>
      <c r="Z55" s="2">
        <f>DL_OH!S62*6.8</f>
        <v>6.6716981132075475</v>
      </c>
      <c r="AA55" s="5">
        <f t="shared" ref="AA55:AA60" si="39">AVERAGE(U55:Z55)</f>
        <v>6.4972075471698121</v>
      </c>
      <c r="AB55" s="5">
        <f t="shared" ref="AB55:AB60" si="40">SQRT(VAR(U55:Z55))</f>
        <v>1.346018834996445</v>
      </c>
      <c r="AC55" s="3">
        <f t="shared" ref="AC55:AC60" si="41">COUNT(U55:Z55)</f>
        <v>3</v>
      </c>
    </row>
    <row r="56" spans="1:29" ht="31.5" customHeight="1">
      <c r="A56" s="246"/>
      <c r="D56" s="29"/>
      <c r="G56" s="4">
        <v>40</v>
      </c>
      <c r="H56" s="3" t="s">
        <v>417</v>
      </c>
      <c r="I56" s="17">
        <v>3.3</v>
      </c>
      <c r="J56" s="2">
        <f>J55*DL_OH!$W$54</f>
        <v>9.01131843142457</v>
      </c>
      <c r="L56" s="2">
        <f>L55*DL_OH!$W$65</f>
        <v>8.9135162567588839</v>
      </c>
      <c r="O56" s="5">
        <f t="shared" si="36"/>
        <v>8.9624173440917261</v>
      </c>
      <c r="P56" s="5">
        <f t="shared" si="37"/>
        <v>6.9156580920897798E-2</v>
      </c>
      <c r="Q56" s="3">
        <f t="shared" si="38"/>
        <v>2</v>
      </c>
      <c r="T56" s="246"/>
      <c r="U56" s="2">
        <f>U55*DL_OH!$W$54</f>
        <v>8.9314475172774284</v>
      </c>
      <c r="Y56" s="2">
        <f>Y55*DL_OH!$W$61</f>
        <v>5.9047421021579387</v>
      </c>
      <c r="Z56" s="2">
        <f>Z55*DL_OH!$W$62</f>
        <v>7.70875902019199</v>
      </c>
      <c r="AA56" s="5">
        <f t="shared" si="39"/>
        <v>7.5149828798757854</v>
      </c>
      <c r="AB56" s="5">
        <f t="shared" si="40"/>
        <v>1.522628750515139</v>
      </c>
      <c r="AC56" s="3">
        <f t="shared" si="41"/>
        <v>3</v>
      </c>
    </row>
    <row r="57" spans="1:29" ht="31.5" customHeight="1">
      <c r="A57" s="246"/>
      <c r="D57" s="29"/>
      <c r="G57" s="4">
        <v>100</v>
      </c>
      <c r="H57" s="3" t="s">
        <v>417</v>
      </c>
      <c r="I57" s="17">
        <v>3.3</v>
      </c>
      <c r="J57" s="2">
        <f>J55*DL_OH!$AA$54</f>
        <v>9.8284855700550118</v>
      </c>
      <c r="L57" s="2">
        <f>L55*DL_OH!$AA$65</f>
        <v>9.6986505489945767</v>
      </c>
      <c r="O57" s="5">
        <f t="shared" si="36"/>
        <v>9.7635680595247933</v>
      </c>
      <c r="P57" s="5">
        <f t="shared" si="37"/>
        <v>9.1807223827331877E-2</v>
      </c>
      <c r="Q57" s="3">
        <f t="shared" si="38"/>
        <v>2</v>
      </c>
      <c r="T57" s="246"/>
      <c r="U57" s="2">
        <f>U55*DL_OH!$AA$54</f>
        <v>9.7413717772025947</v>
      </c>
      <c r="Y57" s="2">
        <f>Y55*DL_OH!$AA$61</f>
        <v>6.4720228521387968</v>
      </c>
      <c r="Z57" s="2">
        <f>Z55*DL_OH!$AA$62</f>
        <v>8.4174832174776562</v>
      </c>
      <c r="AA57" s="5">
        <f t="shared" si="39"/>
        <v>8.2102926156063489</v>
      </c>
      <c r="AB57" s="5">
        <f t="shared" si="40"/>
        <v>1.6444927964517868</v>
      </c>
      <c r="AC57" s="3">
        <f t="shared" si="41"/>
        <v>3</v>
      </c>
    </row>
    <row r="58" spans="1:29" ht="25.5">
      <c r="A58" s="246"/>
      <c r="G58" s="4">
        <v>20</v>
      </c>
      <c r="H58" s="11" t="s">
        <v>418</v>
      </c>
      <c r="I58" s="11">
        <v>0.12</v>
      </c>
      <c r="J58" s="20">
        <f>DL_OH!S54*0.189</f>
        <v>0.1925660377358491</v>
      </c>
      <c r="K58" s="20"/>
      <c r="L58" s="20">
        <f>DL_OH!S65*0.1479</f>
        <v>0.14928224299065423</v>
      </c>
      <c r="M58" s="20"/>
      <c r="N58" s="20"/>
      <c r="O58" s="27">
        <f t="shared" si="36"/>
        <v>0.17092414036325165</v>
      </c>
      <c r="P58" s="27">
        <f t="shared" si="37"/>
        <v>3.0606264779814152E-2</v>
      </c>
      <c r="Q58" s="11">
        <f t="shared" si="38"/>
        <v>2</v>
      </c>
      <c r="T58" s="246"/>
      <c r="U58" s="20">
        <f>DL_OH!S54*0.185</f>
        <v>0.1884905660377359</v>
      </c>
      <c r="V58" s="20"/>
      <c r="W58" s="20"/>
      <c r="X58" s="20"/>
      <c r="Y58" s="20">
        <f>DL_OH!S61*0.15</f>
        <v>0.14716981132075474</v>
      </c>
      <c r="Z58" s="20">
        <f>DL_OH!S62*0.215</f>
        <v>0.21094339622641509</v>
      </c>
      <c r="AA58" s="190">
        <f t="shared" si="39"/>
        <v>0.18220125786163524</v>
      </c>
      <c r="AB58" s="190">
        <f t="shared" si="40"/>
        <v>3.2348633370365705E-2</v>
      </c>
      <c r="AC58" s="191">
        <f t="shared" si="41"/>
        <v>3</v>
      </c>
    </row>
    <row r="59" spans="1:29" ht="25.5">
      <c r="A59" s="8"/>
      <c r="G59" s="4">
        <v>40</v>
      </c>
      <c r="H59" s="11" t="s">
        <v>418</v>
      </c>
      <c r="I59" s="11">
        <v>0.12</v>
      </c>
      <c r="J59" s="20">
        <f>J58*DL_OH!$W$54</f>
        <v>0.22199415843837902</v>
      </c>
      <c r="K59" s="20"/>
      <c r="L59" s="20">
        <f>L58*DL_OH!$W$65</f>
        <v>0.17129127689599405</v>
      </c>
      <c r="M59" s="20"/>
      <c r="N59" s="20"/>
      <c r="O59" s="27">
        <f t="shared" si="36"/>
        <v>0.19664271766718655</v>
      </c>
      <c r="P59" s="27">
        <f t="shared" si="37"/>
        <v>3.5852351364318642E-2</v>
      </c>
      <c r="Q59" s="11">
        <f t="shared" si="38"/>
        <v>2</v>
      </c>
      <c r="T59" s="246"/>
      <c r="U59" s="20">
        <f>U58*DL_OH!$W$54</f>
        <v>0.21729586937090012</v>
      </c>
      <c r="V59" s="20"/>
      <c r="W59" s="20"/>
      <c r="X59" s="20"/>
      <c r="Y59" s="20">
        <f>Y58*DL_OH!$W$61</f>
        <v>0.17131746911483378</v>
      </c>
      <c r="Z59" s="20">
        <f>Z58*DL_OH!$W$62</f>
        <v>0.24373282196195259</v>
      </c>
      <c r="AA59" s="190">
        <f t="shared" si="39"/>
        <v>0.21078205348256215</v>
      </c>
      <c r="AB59" s="190">
        <f t="shared" si="40"/>
        <v>3.6644483623917486E-2</v>
      </c>
      <c r="AC59" s="191">
        <f t="shared" si="41"/>
        <v>3</v>
      </c>
    </row>
    <row r="60" spans="1:29" ht="25.5">
      <c r="A60" s="8"/>
      <c r="G60" s="4">
        <v>100</v>
      </c>
      <c r="H60" s="11" t="s">
        <v>418</v>
      </c>
      <c r="I60" s="11">
        <v>0.12</v>
      </c>
      <c r="J60" s="20">
        <f>J58*DL_OH!$AA$54</f>
        <v>0.24212510072215815</v>
      </c>
      <c r="K60" s="20"/>
      <c r="L60" s="20">
        <f>L58*DL_OH!$AA$65</f>
        <v>0.18637922328863196</v>
      </c>
      <c r="M60" s="20"/>
      <c r="N60" s="20"/>
      <c r="O60" s="27">
        <f t="shared" si="36"/>
        <v>0.21425216200539504</v>
      </c>
      <c r="P60" s="27">
        <f t="shared" si="37"/>
        <v>3.9418287956440673E-2</v>
      </c>
      <c r="Q60" s="11">
        <f t="shared" si="38"/>
        <v>2</v>
      </c>
      <c r="T60" s="246"/>
      <c r="U60" s="20">
        <f>U58*DL_OH!$AA$54</f>
        <v>0.23700075996613365</v>
      </c>
      <c r="V60" s="20"/>
      <c r="W60" s="20"/>
      <c r="X60" s="20"/>
      <c r="Y60" s="20">
        <f>Y58*DL_OH!$AA$61</f>
        <v>0.18777629164812754</v>
      </c>
      <c r="Z60" s="20">
        <f>Z58*DL_OH!$AA$62</f>
        <v>0.26614101349377883</v>
      </c>
      <c r="AA60" s="190">
        <f t="shared" si="39"/>
        <v>0.23030602170268</v>
      </c>
      <c r="AB60" s="190">
        <f t="shared" si="40"/>
        <v>3.9608989482170343E-2</v>
      </c>
      <c r="AC60" s="191">
        <f t="shared" si="41"/>
        <v>3</v>
      </c>
    </row>
    <row r="61" spans="1:29">
      <c r="A61" s="8"/>
      <c r="O61" s="5"/>
      <c r="T61" s="246"/>
      <c r="AA61" s="5"/>
    </row>
    <row r="62" spans="1:29" ht="31.5" customHeight="1">
      <c r="A62" s="8"/>
      <c r="B62" s="3" t="s">
        <v>413</v>
      </c>
      <c r="C62" s="3" t="s">
        <v>414</v>
      </c>
      <c r="D62" s="29" t="s">
        <v>428</v>
      </c>
      <c r="E62" s="3" t="s">
        <v>416</v>
      </c>
      <c r="F62" s="3" t="s">
        <v>69</v>
      </c>
      <c r="G62" s="4">
        <v>20</v>
      </c>
      <c r="H62" s="3" t="s">
        <v>417</v>
      </c>
      <c r="I62" s="17">
        <v>3.3</v>
      </c>
      <c r="J62" s="2">
        <f>DL_OH!S38*7.515</f>
        <v>7.6567924528301887</v>
      </c>
      <c r="O62" s="5">
        <f>AVERAGE(J62:N62)</f>
        <v>7.6567924528301887</v>
      </c>
      <c r="P62" s="5" t="e">
        <f>SQRT(VAR(J62:N62))</f>
        <v>#DIV/0!</v>
      </c>
      <c r="Q62" s="3">
        <f>COUNT(J62:N62)</f>
        <v>1</v>
      </c>
      <c r="T62" s="246"/>
      <c r="U62" s="2">
        <f>DL_OH!S38*7.433</f>
        <v>7.5732452830188679</v>
      </c>
      <c r="AA62" s="5">
        <f>AVERAGE(U62:Z62)</f>
        <v>7.5732452830188679</v>
      </c>
      <c r="AB62" s="5" t="e">
        <f>SQRT(VAR(U62:Z62))</f>
        <v>#DIV/0!</v>
      </c>
      <c r="AC62" s="3">
        <f>COUNT(U62:Z62)</f>
        <v>1</v>
      </c>
    </row>
    <row r="63" spans="1:29" ht="31.5" customHeight="1">
      <c r="A63" s="8"/>
      <c r="D63" s="29"/>
      <c r="G63" s="4">
        <v>40</v>
      </c>
      <c r="H63" s="3" t="s">
        <v>417</v>
      </c>
      <c r="I63" s="17">
        <v>3.3</v>
      </c>
      <c r="J63" s="2">
        <f>J62*DL_OH!$W$38</f>
        <v>8.6284675921906508</v>
      </c>
      <c r="O63" s="5">
        <f>AVERAGE(J63:N63)</f>
        <v>8.6284675921906508</v>
      </c>
      <c r="P63" s="5" t="e">
        <f>SQRT(VAR(J63:N63))</f>
        <v>#DIV/0!</v>
      </c>
      <c r="Q63" s="3">
        <f>COUNT(J63:N63)</f>
        <v>1</v>
      </c>
      <c r="T63" s="246"/>
      <c r="U63" s="2">
        <f>U62*DL_OH!$W$38</f>
        <v>8.5343179790755972</v>
      </c>
      <c r="AA63" s="5">
        <f>AVERAGE(U63:Z63)</f>
        <v>8.5343179790755972</v>
      </c>
      <c r="AB63" s="5" t="e">
        <f>SQRT(VAR(U63:Z63))</f>
        <v>#DIV/0!</v>
      </c>
      <c r="AC63" s="3">
        <f>COUNT(U63:Z63)</f>
        <v>1</v>
      </c>
    </row>
    <row r="64" spans="1:29" ht="25.5">
      <c r="A64" s="8"/>
      <c r="G64" s="4">
        <v>20</v>
      </c>
      <c r="H64" s="11" t="s">
        <v>418</v>
      </c>
      <c r="I64" s="11">
        <v>0.12</v>
      </c>
      <c r="J64" s="20">
        <f>DL_OH!S38*0.161</f>
        <v>0.16403773584905662</v>
      </c>
      <c r="K64" s="20"/>
      <c r="L64" s="20"/>
      <c r="M64" s="20"/>
      <c r="N64" s="20"/>
      <c r="O64" s="27">
        <f>AVERAGE(J64:N64)</f>
        <v>0.16403773584905662</v>
      </c>
      <c r="P64" s="27" t="e">
        <f>SQRT(VAR(J64:N64))</f>
        <v>#DIV/0!</v>
      </c>
      <c r="Q64" s="11">
        <f>COUNT(J64:N64)</f>
        <v>1</v>
      </c>
      <c r="T64" s="246"/>
      <c r="U64" s="20">
        <f>DL_OH!S38*0.156</f>
        <v>0.1589433962264151</v>
      </c>
      <c r="V64" s="20"/>
      <c r="W64" s="20"/>
      <c r="X64" s="20"/>
      <c r="Y64" s="20"/>
      <c r="Z64" s="20"/>
      <c r="AA64" s="190">
        <f>AVERAGE(U64:Z64)</f>
        <v>0.1589433962264151</v>
      </c>
      <c r="AB64" s="190" t="e">
        <f>SQRT(VAR(U64:Z64))</f>
        <v>#DIV/0!</v>
      </c>
      <c r="AC64" s="191">
        <f>COUNT(U64:Z64)</f>
        <v>1</v>
      </c>
    </row>
    <row r="65" spans="1:29" ht="25.5">
      <c r="A65" s="8"/>
      <c r="G65" s="4">
        <v>40</v>
      </c>
      <c r="H65" s="11" t="s">
        <v>418</v>
      </c>
      <c r="I65" s="11">
        <v>0.12</v>
      </c>
      <c r="J65" s="20">
        <f>J64*DL_OH!$W$38</f>
        <v>0.18485472818931403</v>
      </c>
      <c r="K65" s="20"/>
      <c r="L65" s="20"/>
      <c r="M65" s="20"/>
      <c r="N65" s="20"/>
      <c r="O65" s="27">
        <f>AVERAGE(J65:N65)</f>
        <v>0.18485472818931403</v>
      </c>
      <c r="P65" s="27" t="e">
        <f>SQRT(VAR(J65:N65))</f>
        <v>#DIV/0!</v>
      </c>
      <c r="Q65" s="11">
        <f>COUNT(J65:N65)</f>
        <v>1</v>
      </c>
      <c r="T65" s="246"/>
      <c r="U65" s="20">
        <f>U64*DL_OH!$W$38</f>
        <v>0.17911389812132289</v>
      </c>
      <c r="V65" s="20"/>
      <c r="W65" s="20"/>
      <c r="X65" s="20"/>
      <c r="Y65" s="20"/>
      <c r="Z65" s="20"/>
      <c r="AA65" s="190">
        <f>AVERAGE(U65:Z65)</f>
        <v>0.17911389812132289</v>
      </c>
      <c r="AB65" s="190" t="e">
        <f>SQRT(VAR(U65:Z65))</f>
        <v>#DIV/0!</v>
      </c>
      <c r="AC65" s="191">
        <f>COUNT(U65:Z65)</f>
        <v>1</v>
      </c>
    </row>
    <row r="66" spans="1:29">
      <c r="A66" s="8"/>
      <c r="O66" s="5"/>
      <c r="T66" s="246"/>
      <c r="AA66" s="5"/>
    </row>
    <row r="67" spans="1:29" ht="31.5" customHeight="1">
      <c r="A67" s="8"/>
      <c r="B67" s="3" t="s">
        <v>413</v>
      </c>
      <c r="C67" s="3" t="s">
        <v>420</v>
      </c>
      <c r="D67" s="29" t="s">
        <v>430</v>
      </c>
      <c r="E67" s="3" t="s">
        <v>429</v>
      </c>
      <c r="F67" s="3" t="s">
        <v>69</v>
      </c>
      <c r="G67" s="4">
        <v>20</v>
      </c>
      <c r="H67" s="3" t="s">
        <v>417</v>
      </c>
      <c r="I67" s="17">
        <v>3.3</v>
      </c>
      <c r="J67" s="2">
        <f>DL_OH!S55*9.041</f>
        <v>9.2115849056603754</v>
      </c>
      <c r="O67" s="5">
        <f t="shared" ref="O67:O72" si="42">AVERAGE(J67:N67)</f>
        <v>9.2115849056603754</v>
      </c>
      <c r="P67" s="5" t="e">
        <f t="shared" ref="P67:P72" si="43">SQRT(VAR(J67:N67))</f>
        <v>#DIV/0!</v>
      </c>
      <c r="Q67" s="3">
        <f t="shared" ref="Q67:Q72" si="44">COUNT(J67:N67)</f>
        <v>1</v>
      </c>
      <c r="T67" s="246"/>
      <c r="U67" s="2">
        <f>DL_OH!S55*9.049</f>
        <v>9.219735849056601</v>
      </c>
      <c r="AA67" s="5">
        <f t="shared" ref="AA67:AA72" si="45">AVERAGE(U67:Z67)</f>
        <v>9.219735849056601</v>
      </c>
      <c r="AB67" s="5" t="e">
        <f t="shared" ref="AB67:AB72" si="46">SQRT(VAR(U67:Z67))</f>
        <v>#DIV/0!</v>
      </c>
      <c r="AC67" s="3">
        <f t="shared" ref="AC67:AC72" si="47">COUNT(U67:Z67)</f>
        <v>1</v>
      </c>
    </row>
    <row r="68" spans="1:29" ht="31.5" customHeight="1">
      <c r="A68" s="8"/>
      <c r="D68" s="29"/>
      <c r="G68" s="4">
        <v>40</v>
      </c>
      <c r="H68" s="3" t="s">
        <v>417</v>
      </c>
      <c r="I68" s="17">
        <v>3.3</v>
      </c>
      <c r="J68" s="2">
        <f>J67*DL_OH!$W$55</f>
        <v>10.637287754361539</v>
      </c>
      <c r="O68" s="5">
        <f t="shared" si="42"/>
        <v>10.637287754361539</v>
      </c>
      <c r="P68" s="5" t="e">
        <f t="shared" si="43"/>
        <v>#DIV/0!</v>
      </c>
      <c r="Q68" s="3">
        <f t="shared" si="44"/>
        <v>1</v>
      </c>
      <c r="T68" s="246"/>
      <c r="U68" s="2">
        <f>U67*DL_OH!$W$55</f>
        <v>10.646700242143298</v>
      </c>
      <c r="AA68" s="5">
        <f t="shared" si="45"/>
        <v>10.646700242143298</v>
      </c>
      <c r="AB68" s="5" t="e">
        <f t="shared" si="46"/>
        <v>#DIV/0!</v>
      </c>
      <c r="AC68" s="3">
        <f t="shared" si="47"/>
        <v>1</v>
      </c>
    </row>
    <row r="69" spans="1:29" ht="31.5" customHeight="1">
      <c r="A69" s="8"/>
      <c r="D69" s="29"/>
      <c r="G69" s="4">
        <v>100</v>
      </c>
      <c r="H69" s="3" t="s">
        <v>417</v>
      </c>
      <c r="I69" s="17">
        <v>3.3</v>
      </c>
      <c r="J69" s="2">
        <f>J67*DL_OH!$AA$55</f>
        <v>11.611851103344094</v>
      </c>
      <c r="O69" s="5">
        <f t="shared" si="42"/>
        <v>11.611851103344094</v>
      </c>
      <c r="P69" s="5" t="e">
        <f t="shared" si="43"/>
        <v>#DIV/0!</v>
      </c>
      <c r="Q69" s="3">
        <f t="shared" si="44"/>
        <v>1</v>
      </c>
      <c r="T69" s="246"/>
      <c r="U69" s="2">
        <f>U67*DL_OH!$AA$55</f>
        <v>11.622125941174726</v>
      </c>
      <c r="AA69" s="5">
        <f t="shared" si="45"/>
        <v>11.622125941174726</v>
      </c>
      <c r="AB69" s="5" t="e">
        <f t="shared" si="46"/>
        <v>#DIV/0!</v>
      </c>
      <c r="AC69" s="3">
        <f t="shared" si="47"/>
        <v>1</v>
      </c>
    </row>
    <row r="70" spans="1:29" ht="25.5">
      <c r="A70" s="8"/>
      <c r="G70" s="4">
        <v>20</v>
      </c>
      <c r="H70" s="11" t="s">
        <v>418</v>
      </c>
      <c r="I70" s="11">
        <v>0.12</v>
      </c>
      <c r="J70" s="20">
        <f>DL_OH!S55*0.21</f>
        <v>0.21396226415094335</v>
      </c>
      <c r="K70" s="20"/>
      <c r="L70" s="20"/>
      <c r="M70" s="20"/>
      <c r="N70" s="20"/>
      <c r="O70" s="27">
        <f t="shared" si="42"/>
        <v>0.21396226415094335</v>
      </c>
      <c r="P70" s="27" t="e">
        <f t="shared" si="43"/>
        <v>#DIV/0!</v>
      </c>
      <c r="Q70" s="11">
        <f t="shared" si="44"/>
        <v>1</v>
      </c>
      <c r="T70" s="246"/>
      <c r="U70" s="20">
        <f>DL_OH!S55*0.215</f>
        <v>0.21905660377358485</v>
      </c>
      <c r="V70" s="20"/>
      <c r="W70" s="20"/>
      <c r="X70" s="20"/>
      <c r="Y70" s="20"/>
      <c r="Z70" s="20"/>
      <c r="AA70" s="190">
        <f t="shared" si="45"/>
        <v>0.21905660377358485</v>
      </c>
      <c r="AB70" s="190" t="e">
        <f t="shared" si="46"/>
        <v>#DIV/0!</v>
      </c>
      <c r="AC70" s="191">
        <f t="shared" si="47"/>
        <v>1</v>
      </c>
    </row>
    <row r="71" spans="1:29" ht="25.5">
      <c r="A71" s="8"/>
      <c r="G71" s="4">
        <v>40</v>
      </c>
      <c r="H71" s="11" t="s">
        <v>418</v>
      </c>
      <c r="I71" s="11">
        <v>0.12</v>
      </c>
      <c r="J71" s="20">
        <f>J70*DL_OH!$W$55</f>
        <v>0.24707780427120044</v>
      </c>
      <c r="K71" s="20"/>
      <c r="L71" s="20"/>
      <c r="M71" s="20"/>
      <c r="N71" s="20"/>
      <c r="O71" s="27">
        <f t="shared" si="42"/>
        <v>0.24707780427120044</v>
      </c>
      <c r="P71" s="27" t="e">
        <f t="shared" si="43"/>
        <v>#DIV/0!</v>
      </c>
      <c r="Q71" s="11">
        <f t="shared" si="44"/>
        <v>1</v>
      </c>
      <c r="T71" s="246"/>
      <c r="U71" s="20">
        <f>U70*DL_OH!$W$55</f>
        <v>0.25296060913480045</v>
      </c>
      <c r="V71" s="20"/>
      <c r="W71" s="20"/>
      <c r="X71" s="20"/>
      <c r="Y71" s="20"/>
      <c r="Z71" s="20"/>
      <c r="AA71" s="190">
        <f t="shared" si="45"/>
        <v>0.25296060913480045</v>
      </c>
      <c r="AB71" s="190" t="e">
        <f t="shared" si="46"/>
        <v>#DIV/0!</v>
      </c>
      <c r="AC71" s="191">
        <f t="shared" si="47"/>
        <v>1</v>
      </c>
    </row>
    <row r="72" spans="1:29" ht="25.5">
      <c r="A72" s="8"/>
      <c r="G72" s="4">
        <v>100</v>
      </c>
      <c r="H72" s="11" t="s">
        <v>418</v>
      </c>
      <c r="I72" s="11">
        <v>0.12</v>
      </c>
      <c r="J72" s="20">
        <f>J70*DL_OH!$AA$55</f>
        <v>0.26971449305411566</v>
      </c>
      <c r="K72" s="20"/>
      <c r="L72" s="20"/>
      <c r="M72" s="20"/>
      <c r="N72" s="20"/>
      <c r="O72" s="27">
        <f t="shared" si="42"/>
        <v>0.26971449305411566</v>
      </c>
      <c r="P72" s="27" t="e">
        <f t="shared" si="43"/>
        <v>#DIV/0!</v>
      </c>
      <c r="Q72" s="11">
        <f t="shared" si="44"/>
        <v>1</v>
      </c>
      <c r="T72" s="246"/>
      <c r="U72" s="20">
        <f>U70*DL_OH!$AA$55</f>
        <v>0.27613626669826125</v>
      </c>
      <c r="V72" s="20"/>
      <c r="W72" s="20"/>
      <c r="X72" s="20"/>
      <c r="Y72" s="20"/>
      <c r="Z72" s="20"/>
      <c r="AA72" s="190">
        <f t="shared" si="45"/>
        <v>0.27613626669826125</v>
      </c>
      <c r="AB72" s="190" t="e">
        <f t="shared" si="46"/>
        <v>#DIV/0!</v>
      </c>
      <c r="AC72" s="191">
        <f t="shared" si="47"/>
        <v>1</v>
      </c>
    </row>
    <row r="73" spans="1:29">
      <c r="A73" s="8"/>
      <c r="O73" s="5"/>
      <c r="T73" s="246"/>
      <c r="AA73" s="5"/>
    </row>
    <row r="74" spans="1:29" ht="31.5" customHeight="1">
      <c r="A74" s="8"/>
      <c r="B74" s="3" t="s">
        <v>413</v>
      </c>
      <c r="C74" s="3" t="s">
        <v>420</v>
      </c>
      <c r="D74" s="29" t="s">
        <v>430</v>
      </c>
      <c r="E74" s="3" t="s">
        <v>416</v>
      </c>
      <c r="F74" s="3" t="s">
        <v>69</v>
      </c>
      <c r="G74" s="4">
        <v>20</v>
      </c>
      <c r="H74" s="3" t="s">
        <v>417</v>
      </c>
      <c r="I74" s="17">
        <v>3.3</v>
      </c>
      <c r="J74" s="2">
        <f>DL_OH!S39*8.732</f>
        <v>8.8967547169811318</v>
      </c>
      <c r="O74" s="5">
        <f>AVERAGE(J74:N74)</f>
        <v>8.8967547169811318</v>
      </c>
      <c r="P74" s="5" t="e">
        <f>SQRT(VAR(J74:N74))</f>
        <v>#DIV/0!</v>
      </c>
      <c r="Q74" s="3">
        <f>COUNT(J74:N74)</f>
        <v>1</v>
      </c>
      <c r="T74" s="246"/>
      <c r="U74" s="2">
        <f>DL_OH!S39*8.783</f>
        <v>8.9487169811320744</v>
      </c>
      <c r="AA74" s="5">
        <f>AVERAGE(U74:Z74)</f>
        <v>8.9487169811320744</v>
      </c>
      <c r="AB74" s="5" t="e">
        <f>SQRT(VAR(U74:Z74))</f>
        <v>#DIV/0!</v>
      </c>
      <c r="AC74" s="3">
        <f>COUNT(U74:Z74)</f>
        <v>1</v>
      </c>
    </row>
    <row r="75" spans="1:29" ht="31.5" customHeight="1">
      <c r="A75" s="8"/>
      <c r="D75" s="29"/>
      <c r="G75" s="4">
        <v>40</v>
      </c>
      <c r="H75" s="3" t="s">
        <v>417</v>
      </c>
      <c r="I75" s="17">
        <v>3.3</v>
      </c>
      <c r="J75" s="2">
        <f>J74*DL_OH!$W$39</f>
        <v>10.077316901735349</v>
      </c>
      <c r="O75" s="5">
        <f>AVERAGE(J75:N75)</f>
        <v>10.077316901735349</v>
      </c>
      <c r="P75" s="5" t="e">
        <f>SQRT(VAR(J75:N75))</f>
        <v>#DIV/0!</v>
      </c>
      <c r="Q75" s="3">
        <f>COUNT(J75:N75)</f>
        <v>1</v>
      </c>
      <c r="T75" s="246"/>
      <c r="U75" s="2">
        <f>U74*DL_OH!$W$39</f>
        <v>10.136174341266784</v>
      </c>
      <c r="AA75" s="5">
        <f>AVERAGE(U75:Z75)</f>
        <v>10.136174341266784</v>
      </c>
      <c r="AB75" s="5" t="e">
        <f>SQRT(VAR(U75:Z75))</f>
        <v>#DIV/0!</v>
      </c>
      <c r="AC75" s="3">
        <f>COUNT(U75:Z75)</f>
        <v>1</v>
      </c>
    </row>
    <row r="76" spans="1:29" ht="25.5">
      <c r="A76" s="8"/>
      <c r="G76" s="4">
        <v>20</v>
      </c>
      <c r="H76" s="11" t="s">
        <v>418</v>
      </c>
      <c r="I76" s="11">
        <v>0.12</v>
      </c>
      <c r="J76" s="20">
        <f>DL_OH!S39*0.174</f>
        <v>0.17728301886792452</v>
      </c>
      <c r="K76" s="20"/>
      <c r="L76" s="20"/>
      <c r="M76" s="20"/>
      <c r="N76" s="20"/>
      <c r="O76" s="27">
        <f>AVERAGE(J76:N76)</f>
        <v>0.17728301886792452</v>
      </c>
      <c r="P76" s="27" t="e">
        <f>SQRT(VAR(J76:N76))</f>
        <v>#DIV/0!</v>
      </c>
      <c r="Q76" s="11">
        <f>COUNT(J76:N76)</f>
        <v>1</v>
      </c>
      <c r="T76" s="246"/>
      <c r="U76" s="20">
        <f>DL_OH!S39*0.18</f>
        <v>0.18339622641509434</v>
      </c>
      <c r="V76" s="20"/>
      <c r="W76" s="20"/>
      <c r="X76" s="20"/>
      <c r="Y76" s="20"/>
      <c r="Z76" s="20"/>
      <c r="AA76" s="190">
        <f>AVERAGE(U76:Z76)</f>
        <v>0.18339622641509434</v>
      </c>
      <c r="AB76" s="190" t="e">
        <f>SQRT(VAR(U76:Z76))</f>
        <v>#DIV/0!</v>
      </c>
      <c r="AC76" s="191">
        <f>COUNT(U76:Z76)</f>
        <v>1</v>
      </c>
    </row>
    <row r="77" spans="1:29" ht="25.5">
      <c r="A77" s="8"/>
      <c r="G77" s="4">
        <v>40</v>
      </c>
      <c r="H77" s="11" t="s">
        <v>418</v>
      </c>
      <c r="I77" s="11">
        <v>0.12</v>
      </c>
      <c r="J77" s="20">
        <f>J76*DL_OH!$W$39</f>
        <v>0.20080773487195955</v>
      </c>
      <c r="K77" s="20"/>
      <c r="L77" s="20"/>
      <c r="M77" s="20"/>
      <c r="N77" s="20"/>
      <c r="O77" s="27">
        <f>AVERAGE(J77:N77)</f>
        <v>0.20080773487195955</v>
      </c>
      <c r="P77" s="27" t="e">
        <f>SQRT(VAR(J77:N77))</f>
        <v>#DIV/0!</v>
      </c>
      <c r="Q77" s="11">
        <f>COUNT(J77:N77)</f>
        <v>1</v>
      </c>
      <c r="T77" s="246"/>
      <c r="U77" s="20">
        <f>U76*DL_OH!$W$39</f>
        <v>0.2077321395227168</v>
      </c>
      <c r="V77" s="20"/>
      <c r="W77" s="20"/>
      <c r="X77" s="20"/>
      <c r="Y77" s="20"/>
      <c r="Z77" s="20"/>
      <c r="AA77" s="190">
        <f>AVERAGE(U77:Z77)</f>
        <v>0.2077321395227168</v>
      </c>
      <c r="AB77" s="190" t="e">
        <f>SQRT(VAR(U77:Z77))</f>
        <v>#DIV/0!</v>
      </c>
      <c r="AC77" s="191">
        <f>COUNT(U77:Z77)</f>
        <v>1</v>
      </c>
    </row>
    <row r="78" spans="1:29">
      <c r="A78" s="8"/>
      <c r="O78" s="5"/>
      <c r="T78" s="246"/>
      <c r="AA78" s="5"/>
    </row>
    <row r="79" spans="1:29" ht="25.5">
      <c r="A79" s="8"/>
      <c r="B79" s="3" t="s">
        <v>413</v>
      </c>
      <c r="C79" s="3" t="s">
        <v>423</v>
      </c>
      <c r="D79" s="189" t="s">
        <v>496</v>
      </c>
      <c r="E79" s="3" t="s">
        <v>416</v>
      </c>
      <c r="F79" s="3" t="s">
        <v>70</v>
      </c>
      <c r="G79" s="4">
        <v>20</v>
      </c>
      <c r="H79" s="3" t="s">
        <v>417</v>
      </c>
      <c r="I79" s="17">
        <v>3.3</v>
      </c>
      <c r="O79" s="5" t="e">
        <f>AVERAGE(J79:N79)</f>
        <v>#DIV/0!</v>
      </c>
      <c r="P79" s="5" t="e">
        <f>SQRT(VAR(J79:N79))</f>
        <v>#DIV/0!</v>
      </c>
      <c r="Q79" s="3">
        <f>COUNT(J79:N79)</f>
        <v>0</v>
      </c>
      <c r="T79" s="246"/>
      <c r="AA79" s="5" t="e">
        <f>AVERAGE(U79:Z79)</f>
        <v>#DIV/0!</v>
      </c>
      <c r="AB79" s="5" t="e">
        <f>SQRT(VAR(U79:Z79))</f>
        <v>#DIV/0!</v>
      </c>
      <c r="AC79" s="3">
        <f>COUNT(U79:Z79)</f>
        <v>0</v>
      </c>
    </row>
    <row r="80" spans="1:29" ht="25.5">
      <c r="A80" s="8"/>
      <c r="G80" s="4">
        <v>40</v>
      </c>
      <c r="H80" s="3" t="s">
        <v>417</v>
      </c>
      <c r="I80" s="17">
        <v>3.3</v>
      </c>
      <c r="O80" s="5" t="e">
        <f>AVERAGE(J80:N80)</f>
        <v>#DIV/0!</v>
      </c>
      <c r="P80" s="5" t="e">
        <f>SQRT(VAR(J80:N80))</f>
        <v>#DIV/0!</v>
      </c>
      <c r="Q80" s="3">
        <f>COUNT(J80:N80)</f>
        <v>0</v>
      </c>
      <c r="T80" s="246"/>
      <c r="AA80" s="5" t="e">
        <f>AVERAGE(U80:Z80)</f>
        <v>#DIV/0!</v>
      </c>
      <c r="AB80" s="5" t="e">
        <f>SQRT(VAR(U80:Z80))</f>
        <v>#DIV/0!</v>
      </c>
      <c r="AC80" s="3">
        <f>COUNT(U80:Z80)</f>
        <v>0</v>
      </c>
    </row>
    <row r="81" spans="1:29" ht="25.5">
      <c r="A81" s="8"/>
      <c r="G81" s="4">
        <v>20</v>
      </c>
      <c r="H81" s="11" t="s">
        <v>418</v>
      </c>
      <c r="I81" s="11">
        <v>0.12</v>
      </c>
      <c r="J81" s="20"/>
      <c r="K81" s="20"/>
      <c r="L81" s="20"/>
      <c r="M81" s="20"/>
      <c r="N81" s="20"/>
      <c r="O81" s="27" t="e">
        <f>AVERAGE(J81:N81)</f>
        <v>#DIV/0!</v>
      </c>
      <c r="P81" s="27" t="e">
        <f>SQRT(VAR(J81:N81))</f>
        <v>#DIV/0!</v>
      </c>
      <c r="Q81" s="11">
        <f>COUNT(J81:N81)</f>
        <v>0</v>
      </c>
      <c r="T81" s="246"/>
      <c r="U81" s="20"/>
      <c r="V81" s="20"/>
      <c r="W81" s="20"/>
      <c r="X81" s="20"/>
      <c r="Y81" s="20"/>
      <c r="Z81" s="20"/>
      <c r="AA81" s="190" t="e">
        <f>AVERAGE(U81:Z81)</f>
        <v>#DIV/0!</v>
      </c>
      <c r="AB81" s="190" t="e">
        <f>SQRT(VAR(U81:Z81))</f>
        <v>#DIV/0!</v>
      </c>
      <c r="AC81" s="191">
        <f>COUNT(U81:Z81)</f>
        <v>0</v>
      </c>
    </row>
    <row r="82" spans="1:29" ht="25.5">
      <c r="A82" s="8"/>
      <c r="G82" s="4">
        <v>40</v>
      </c>
      <c r="H82" s="11" t="s">
        <v>418</v>
      </c>
      <c r="I82" s="11">
        <v>0.12</v>
      </c>
      <c r="J82" s="20"/>
      <c r="K82" s="20"/>
      <c r="L82" s="20"/>
      <c r="M82" s="20"/>
      <c r="N82" s="20"/>
      <c r="O82" s="27" t="e">
        <f>AVERAGE(J82:N82)</f>
        <v>#DIV/0!</v>
      </c>
      <c r="P82" s="27" t="e">
        <f>SQRT(VAR(J82:N82))</f>
        <v>#DIV/0!</v>
      </c>
      <c r="Q82" s="11">
        <f>COUNT(J82:N82)</f>
        <v>0</v>
      </c>
      <c r="T82" s="8"/>
      <c r="U82" s="20"/>
      <c r="V82" s="20"/>
      <c r="W82" s="20"/>
      <c r="X82" s="20"/>
      <c r="Y82" s="20"/>
      <c r="Z82" s="20"/>
      <c r="AA82" s="190" t="e">
        <f>AVERAGE(U82:Z82)</f>
        <v>#DIV/0!</v>
      </c>
      <c r="AB82" s="190" t="e">
        <f>SQRT(VAR(U82:Z82))</f>
        <v>#DIV/0!</v>
      </c>
      <c r="AC82" s="191">
        <f>COUNT(U82:Z82)</f>
        <v>0</v>
      </c>
    </row>
    <row r="83" spans="1:29">
      <c r="A83" s="8"/>
      <c r="O83" s="5"/>
      <c r="T83" s="8"/>
      <c r="AA83" s="5"/>
    </row>
    <row r="84" spans="1:29" ht="25.5">
      <c r="A84" s="8"/>
      <c r="B84" s="3" t="s">
        <v>413</v>
      </c>
      <c r="C84" s="3" t="s">
        <v>414</v>
      </c>
      <c r="D84" s="29" t="s">
        <v>428</v>
      </c>
      <c r="E84" s="3" t="s">
        <v>416</v>
      </c>
      <c r="F84" s="3" t="s">
        <v>70</v>
      </c>
      <c r="G84" s="4">
        <v>20</v>
      </c>
      <c r="H84" s="3" t="s">
        <v>417</v>
      </c>
      <c r="I84" s="17">
        <v>3.3</v>
      </c>
      <c r="K84" s="2">
        <v>9.2200000000000006</v>
      </c>
      <c r="M84" s="2">
        <f>DL_OH!S35*8.87</f>
        <v>8.7604938271604933</v>
      </c>
      <c r="O84" s="5">
        <f>AVERAGE(J84:N84)</f>
        <v>8.990246913580247</v>
      </c>
      <c r="P84" s="5">
        <f>SQRT(VAR(J84:N84))</f>
        <v>0.32491993081189341</v>
      </c>
      <c r="Q84" s="3">
        <f>COUNT(J84:N84)</f>
        <v>2</v>
      </c>
      <c r="T84" s="8"/>
      <c r="V84" s="2">
        <v>9.4700000000000006</v>
      </c>
      <c r="X84" s="2">
        <f>DL_OH!S35*9.88</f>
        <v>9.7580246913580257</v>
      </c>
      <c r="AA84" s="5">
        <f>AVERAGE(U84:Z84)</f>
        <v>9.6140123456790132</v>
      </c>
      <c r="AB84" s="5">
        <f>SQRT(VAR(U84:Z84))</f>
        <v>0.20366421240842195</v>
      </c>
      <c r="AC84" s="3">
        <f>COUNT(U84:Z84)</f>
        <v>2</v>
      </c>
    </row>
    <row r="85" spans="1:29" ht="25.5">
      <c r="A85" s="8"/>
      <c r="D85" s="29"/>
      <c r="G85" s="4">
        <v>40</v>
      </c>
      <c r="H85" s="3" t="s">
        <v>417</v>
      </c>
      <c r="I85" s="17">
        <v>3.3</v>
      </c>
      <c r="K85" s="2">
        <f>K84*DL_OH!$W$34</f>
        <v>10.446176245861279</v>
      </c>
      <c r="M85" s="2">
        <f>M84*DL_OH!$W$35</f>
        <v>10.219615867100247</v>
      </c>
      <c r="O85" s="5">
        <f>AVERAGE(J85:N85)</f>
        <v>10.332896056480763</v>
      </c>
      <c r="P85" s="5">
        <f>SQRT(VAR(J85:N85))</f>
        <v>0.16020238017011867</v>
      </c>
      <c r="Q85" s="3">
        <f>COUNT(J85:N85)</f>
        <v>2</v>
      </c>
      <c r="T85" s="8"/>
      <c r="V85" s="2">
        <f>V84*DL_OH!$W$34</f>
        <v>10.729423974870533</v>
      </c>
      <c r="X85" s="2">
        <f>X84*DL_OH!$W$35</f>
        <v>11.383292532914369</v>
      </c>
      <c r="AA85" s="5">
        <f>AVERAGE(U85:Z85)</f>
        <v>11.056358253892451</v>
      </c>
      <c r="AB85" s="5">
        <f>SQRT(VAR(U85:Z85))</f>
        <v>0.46235489139746622</v>
      </c>
      <c r="AC85" s="3">
        <f>COUNT(U85:Z85)</f>
        <v>2</v>
      </c>
    </row>
    <row r="86" spans="1:29" ht="25.5">
      <c r="A86" s="8"/>
      <c r="G86" s="4">
        <v>20</v>
      </c>
      <c r="H86" s="11" t="s">
        <v>418</v>
      </c>
      <c r="I86" s="11">
        <v>0.12</v>
      </c>
      <c r="J86" s="20"/>
      <c r="K86" s="20">
        <v>0.25700000000000001</v>
      </c>
      <c r="L86" s="20"/>
      <c r="M86" s="20">
        <f>DL_OH!S35*0.286</f>
        <v>0.28246913580246913</v>
      </c>
      <c r="N86" s="20"/>
      <c r="O86" s="27">
        <f>AVERAGE(J86:N86)</f>
        <v>0.26973456790123457</v>
      </c>
      <c r="P86" s="27">
        <f>SQRT(VAR(J86:N86))</f>
        <v>1.8009398636886997E-2</v>
      </c>
      <c r="Q86" s="11">
        <f>COUNT(J86:N86)</f>
        <v>2</v>
      </c>
      <c r="T86" s="8"/>
      <c r="U86" s="20"/>
      <c r="V86" s="20">
        <v>0.25700000000000001</v>
      </c>
      <c r="W86" s="20"/>
      <c r="X86" s="20">
        <f>DL_OH!S35*0.286</f>
        <v>0.28246913580246913</v>
      </c>
      <c r="Y86" s="20"/>
      <c r="Z86" s="20"/>
      <c r="AA86" s="190">
        <f>AVERAGE(U86:Z86)</f>
        <v>0.26973456790123457</v>
      </c>
      <c r="AB86" s="190">
        <f>SQRT(VAR(U86:Z86))</f>
        <v>1.8009398636886997E-2</v>
      </c>
      <c r="AC86" s="191">
        <f>COUNT(U86:Z86)</f>
        <v>2</v>
      </c>
    </row>
    <row r="87" spans="1:29" ht="25.5">
      <c r="A87" s="8"/>
      <c r="G87" s="4">
        <v>40</v>
      </c>
      <c r="H87" s="11" t="s">
        <v>418</v>
      </c>
      <c r="I87" s="11">
        <v>0.12</v>
      </c>
      <c r="J87" s="20"/>
      <c r="K87" s="20">
        <f>K86*DL_OH!$W$34</f>
        <v>0.29117866542151288</v>
      </c>
      <c r="L87" s="20"/>
      <c r="M87" s="20">
        <f>M86*DL_OH!$W$35</f>
        <v>0.32951636279488961</v>
      </c>
      <c r="N87" s="20"/>
      <c r="O87" s="27">
        <f>AVERAGE(J87:N87)</f>
        <v>0.31034751410820127</v>
      </c>
      <c r="P87" s="27">
        <f>SQRT(VAR(J87:N87))</f>
        <v>2.7108845787792372E-2</v>
      </c>
      <c r="Q87" s="11">
        <f>COUNT(J87:N87)</f>
        <v>2</v>
      </c>
      <c r="T87" s="8"/>
      <c r="U87" s="20"/>
      <c r="V87" s="20">
        <f>V86*DL_OH!$W$34</f>
        <v>0.29117866542151288</v>
      </c>
      <c r="W87" s="20"/>
      <c r="X87" s="20">
        <f>X86*DL_OH!$W$35</f>
        <v>0.32951636279488961</v>
      </c>
      <c r="Y87" s="20"/>
      <c r="Z87" s="20"/>
      <c r="AA87" s="190">
        <f>AVERAGE(U87:Z87)</f>
        <v>0.31034751410820127</v>
      </c>
      <c r="AB87" s="190">
        <f>SQRT(VAR(U87:Z87))</f>
        <v>2.7108845787792372E-2</v>
      </c>
      <c r="AC87" s="191">
        <f>COUNT(U87:Z87)</f>
        <v>2</v>
      </c>
    </row>
    <row r="88" spans="1:29">
      <c r="A88" s="8"/>
      <c r="O88" s="5"/>
      <c r="T88" s="8"/>
      <c r="AA88" s="5"/>
    </row>
    <row r="89" spans="1:29" ht="25.5">
      <c r="A89" s="8"/>
      <c r="B89" s="3" t="s">
        <v>413</v>
      </c>
      <c r="C89" s="3" t="s">
        <v>414</v>
      </c>
      <c r="D89" s="29" t="s">
        <v>428</v>
      </c>
      <c r="E89" s="29" t="s">
        <v>429</v>
      </c>
      <c r="F89" s="3" t="s">
        <v>70</v>
      </c>
      <c r="G89" s="4">
        <v>20</v>
      </c>
      <c r="H89" s="3" t="s">
        <v>417</v>
      </c>
      <c r="I89" s="17">
        <v>3.3</v>
      </c>
      <c r="K89" s="2">
        <v>8.64</v>
      </c>
      <c r="N89" s="2">
        <f>DL_OH!S51*4.93</f>
        <v>4.7891428571428571</v>
      </c>
      <c r="O89" s="5">
        <f t="shared" ref="O89:O94" si="48">AVERAGE(J89:N89)</f>
        <v>6.7145714285714284</v>
      </c>
      <c r="P89" s="5">
        <f t="shared" ref="P89:P94" si="49">SQRT(VAR(J89:N89))</f>
        <v>2.7229671990949411</v>
      </c>
      <c r="Q89" s="3">
        <f t="shared" ref="Q89:Q94" si="50">COUNT(J89:N89)</f>
        <v>2</v>
      </c>
      <c r="T89" s="8"/>
      <c r="V89" s="2">
        <v>8.83</v>
      </c>
      <c r="Y89" s="2">
        <f>DL_OH!S51*5.14</f>
        <v>4.9931428571428569</v>
      </c>
      <c r="AA89" s="5">
        <f t="shared" ref="AA89:AA94" si="51">AVERAGE(U89:Z89)</f>
        <v>6.9115714285714285</v>
      </c>
      <c r="AB89" s="5">
        <f t="shared" ref="AB89:AB94" si="52">SQRT(VAR(U89:Z89))</f>
        <v>2.7130677041583287</v>
      </c>
      <c r="AC89" s="3">
        <f t="shared" ref="AC89:AC94" si="53">COUNT(U89:Z89)</f>
        <v>2</v>
      </c>
    </row>
    <row r="90" spans="1:29" ht="25.5">
      <c r="A90" s="8"/>
      <c r="D90" s="29"/>
      <c r="E90" s="29"/>
      <c r="G90" s="4">
        <v>40</v>
      </c>
      <c r="H90" s="3" t="s">
        <v>417</v>
      </c>
      <c r="I90" s="17">
        <v>3.3</v>
      </c>
      <c r="K90" s="2">
        <f>K89*DL_OH!$W$60</f>
        <v>9.9868487589630437</v>
      </c>
      <c r="N90" s="2">
        <f>N89*DL_OH!$W$51</f>
        <v>5.6889544959338538</v>
      </c>
      <c r="O90" s="5">
        <f t="shared" si="48"/>
        <v>7.8379016274484492</v>
      </c>
      <c r="P90" s="5">
        <f t="shared" si="49"/>
        <v>3.0390701782106948</v>
      </c>
      <c r="Q90" s="3">
        <f t="shared" si="50"/>
        <v>2</v>
      </c>
      <c r="T90" s="8"/>
      <c r="V90" s="2">
        <f>V89*DL_OH!$W$60</f>
        <v>10.206466960838387</v>
      </c>
      <c r="Y90" s="2">
        <f>Y89*DL_OH!$W$51</f>
        <v>5.9312831864300222</v>
      </c>
      <c r="AA90" s="5">
        <f t="shared" si="51"/>
        <v>8.0688750736342048</v>
      </c>
      <c r="AB90" s="5">
        <f t="shared" si="52"/>
        <v>3.0230114377028534</v>
      </c>
      <c r="AC90" s="3">
        <f t="shared" si="53"/>
        <v>2</v>
      </c>
    </row>
    <row r="91" spans="1:29" ht="25.5">
      <c r="A91" s="8"/>
      <c r="D91" s="29"/>
      <c r="E91" s="29"/>
      <c r="G91" s="4">
        <v>100</v>
      </c>
      <c r="H91" s="3" t="s">
        <v>417</v>
      </c>
      <c r="I91" s="17">
        <v>3.3</v>
      </c>
      <c r="K91" s="2">
        <f>K89*DL_OH!$AA$60</f>
        <v>10.907196999448427</v>
      </c>
      <c r="N91" s="2">
        <f>N89*DL_OH!$AA$51</f>
        <v>6.2977081229672613</v>
      </c>
      <c r="O91" s="5">
        <f t="shared" si="48"/>
        <v>8.6024525612078442</v>
      </c>
      <c r="P91" s="5">
        <f t="shared" si="49"/>
        <v>3.2594008423637937</v>
      </c>
      <c r="Q91" s="3">
        <f t="shared" si="50"/>
        <v>2</v>
      </c>
      <c r="T91" s="8"/>
      <c r="V91" s="2">
        <f>V89*DL_OH!$AA$60</f>
        <v>11.147054340871483</v>
      </c>
      <c r="Y91" s="2">
        <f>Y89*DL_OH!$AA$51</f>
        <v>6.5659674953451761</v>
      </c>
      <c r="AA91" s="5">
        <f t="shared" si="51"/>
        <v>8.856510918108329</v>
      </c>
      <c r="AB91" s="5">
        <f t="shared" si="52"/>
        <v>3.2393175736761415</v>
      </c>
      <c r="AC91" s="3">
        <f t="shared" si="53"/>
        <v>2</v>
      </c>
    </row>
    <row r="92" spans="1:29" ht="25.5">
      <c r="A92" s="8"/>
      <c r="G92" s="4">
        <v>20</v>
      </c>
      <c r="H92" s="11" t="s">
        <v>418</v>
      </c>
      <c r="I92" s="11">
        <v>0.12</v>
      </c>
      <c r="J92" s="20"/>
      <c r="K92" s="20">
        <v>0.22700000000000001</v>
      </c>
      <c r="L92" s="20"/>
      <c r="M92" s="20"/>
      <c r="N92" s="20">
        <f>DL_OH!S51*0.15</f>
        <v>0.14571428571428571</v>
      </c>
      <c r="O92" s="27">
        <f t="shared" si="48"/>
        <v>0.18635714285714286</v>
      </c>
      <c r="P92" s="27">
        <f t="shared" si="49"/>
        <v>5.7477679785020837E-2</v>
      </c>
      <c r="Q92" s="11">
        <f t="shared" si="50"/>
        <v>2</v>
      </c>
      <c r="T92" s="8"/>
      <c r="U92" s="20"/>
      <c r="V92" s="20">
        <v>0.22700000000000001</v>
      </c>
      <c r="W92" s="20"/>
      <c r="X92" s="20"/>
      <c r="Y92" s="20">
        <f>DL_OH!S51*0.16</f>
        <v>0.15542857142857144</v>
      </c>
      <c r="Z92" s="20"/>
      <c r="AA92" s="190">
        <f t="shared" si="51"/>
        <v>0.19121428571428573</v>
      </c>
      <c r="AB92" s="190">
        <f t="shared" si="52"/>
        <v>5.0608642482065869E-2</v>
      </c>
      <c r="AC92" s="191">
        <f t="shared" si="53"/>
        <v>2</v>
      </c>
    </row>
    <row r="93" spans="1:29" ht="25.5">
      <c r="A93" s="8"/>
      <c r="G93" s="4">
        <v>40</v>
      </c>
      <c r="H93" s="11" t="s">
        <v>418</v>
      </c>
      <c r="I93" s="11">
        <v>0.12</v>
      </c>
      <c r="J93" s="20"/>
      <c r="K93" s="20">
        <f>K92*DL_OH!$W$60</f>
        <v>0.26238595697738548</v>
      </c>
      <c r="L93" s="20"/>
      <c r="M93" s="20"/>
      <c r="N93" s="20">
        <f>N92*DL_OH!$W$51</f>
        <v>0.1730919217829773</v>
      </c>
      <c r="O93" s="27">
        <f t="shared" si="48"/>
        <v>0.21773893938018141</v>
      </c>
      <c r="P93" s="27">
        <f t="shared" si="49"/>
        <v>6.3140417805476204E-2</v>
      </c>
      <c r="Q93" s="11">
        <f t="shared" si="50"/>
        <v>2</v>
      </c>
      <c r="T93" s="8"/>
      <c r="U93" s="20"/>
      <c r="V93" s="20">
        <f>V92*DL_OH!$W$60</f>
        <v>0.26238595697738548</v>
      </c>
      <c r="W93" s="20"/>
      <c r="X93" s="20"/>
      <c r="Y93" s="20">
        <f>Y92*DL_OH!$W$51</f>
        <v>0.18463138323517581</v>
      </c>
      <c r="Z93" s="20"/>
      <c r="AA93" s="190">
        <f t="shared" si="51"/>
        <v>0.22350867010628064</v>
      </c>
      <c r="AB93" s="190">
        <f t="shared" si="52"/>
        <v>5.4980786361386029E-2</v>
      </c>
      <c r="AC93" s="191">
        <f t="shared" si="53"/>
        <v>2</v>
      </c>
    </row>
    <row r="94" spans="1:29" ht="25.5">
      <c r="A94" s="8"/>
      <c r="G94" s="4">
        <v>100</v>
      </c>
      <c r="H94" s="11" t="s">
        <v>418</v>
      </c>
      <c r="I94" s="11">
        <v>0.12</v>
      </c>
      <c r="J94" s="20"/>
      <c r="K94" s="20">
        <f>K92*DL_OH!$AA$60</f>
        <v>0.28656640264754552</v>
      </c>
      <c r="L94" s="20"/>
      <c r="M94" s="20"/>
      <c r="N94" s="20">
        <f>N92*DL_OH!$AA$51</f>
        <v>0.191613837412797</v>
      </c>
      <c r="O94" s="27">
        <f t="shared" si="48"/>
        <v>0.23909012003017127</v>
      </c>
      <c r="P94" s="27">
        <f t="shared" si="49"/>
        <v>6.7141602768548553E-2</v>
      </c>
      <c r="Q94" s="11">
        <f t="shared" si="50"/>
        <v>2</v>
      </c>
      <c r="T94" s="8"/>
      <c r="U94" s="20"/>
      <c r="V94" s="20">
        <f>V92*DL_OH!$AA$60</f>
        <v>0.28656640264754552</v>
      </c>
      <c r="W94" s="20"/>
      <c r="X94" s="20"/>
      <c r="Y94" s="20">
        <f>Y92*DL_OH!$AA$51</f>
        <v>0.20438809324031681</v>
      </c>
      <c r="Z94" s="20"/>
      <c r="AA94" s="190">
        <f t="shared" si="51"/>
        <v>0.24547724794393116</v>
      </c>
      <c r="AB94" s="190">
        <f t="shared" si="52"/>
        <v>5.8108839848297615E-2</v>
      </c>
      <c r="AC94" s="191">
        <f t="shared" si="53"/>
        <v>2</v>
      </c>
    </row>
    <row r="95" spans="1:29">
      <c r="A95" s="8"/>
      <c r="O95" s="5"/>
      <c r="T95" s="8"/>
      <c r="AA95" s="5"/>
    </row>
    <row r="96" spans="1:29" ht="25.5">
      <c r="A96" s="8"/>
      <c r="B96" s="3" t="s">
        <v>413</v>
      </c>
      <c r="C96" s="3" t="s">
        <v>425</v>
      </c>
      <c r="D96" s="3" t="s">
        <v>431</v>
      </c>
      <c r="E96" s="29" t="s">
        <v>429</v>
      </c>
      <c r="F96" s="29" t="s">
        <v>72</v>
      </c>
      <c r="G96" s="4">
        <v>20</v>
      </c>
      <c r="H96" s="3" t="s">
        <v>417</v>
      </c>
      <c r="I96" s="17">
        <v>3.3</v>
      </c>
      <c r="O96" s="5" t="e">
        <f t="shared" ref="O96:O101" si="54">AVERAGE(J96:N96)</f>
        <v>#DIV/0!</v>
      </c>
      <c r="P96" s="5" t="e">
        <f t="shared" ref="P96:P101" si="55">SQRT(VAR(J96:N96))</f>
        <v>#DIV/0!</v>
      </c>
      <c r="Q96" s="3">
        <f t="shared" ref="Q96:Q101" si="56">COUNT(J96:N96)</f>
        <v>0</v>
      </c>
      <c r="T96" s="8"/>
      <c r="AA96" s="5" t="e">
        <f t="shared" ref="AA96:AA101" si="57">AVERAGE(U96:Z96)</f>
        <v>#DIV/0!</v>
      </c>
      <c r="AB96" s="5" t="e">
        <f t="shared" ref="AB96:AB101" si="58">SQRT(VAR(U96:Z96))</f>
        <v>#DIV/0!</v>
      </c>
      <c r="AC96" s="3">
        <f t="shared" ref="AC96:AC101" si="59">COUNT(U96:Z96)</f>
        <v>0</v>
      </c>
    </row>
    <row r="97" spans="1:29" ht="25.5">
      <c r="A97" s="8"/>
      <c r="E97" s="29"/>
      <c r="F97" s="29"/>
      <c r="G97" s="4">
        <v>40</v>
      </c>
      <c r="H97" s="3" t="s">
        <v>417</v>
      </c>
      <c r="I97" s="17">
        <v>3.3</v>
      </c>
      <c r="O97" s="5" t="e">
        <f t="shared" si="54"/>
        <v>#DIV/0!</v>
      </c>
      <c r="P97" s="5" t="e">
        <f t="shared" si="55"/>
        <v>#DIV/0!</v>
      </c>
      <c r="Q97" s="3">
        <f t="shared" si="56"/>
        <v>0</v>
      </c>
      <c r="T97" s="8"/>
      <c r="AA97" s="5" t="e">
        <f t="shared" si="57"/>
        <v>#DIV/0!</v>
      </c>
      <c r="AB97" s="5" t="e">
        <f t="shared" si="58"/>
        <v>#DIV/0!</v>
      </c>
      <c r="AC97" s="3">
        <f t="shared" si="59"/>
        <v>0</v>
      </c>
    </row>
    <row r="98" spans="1:29" ht="25.5">
      <c r="A98" s="8"/>
      <c r="E98" s="29"/>
      <c r="F98" s="29"/>
      <c r="G98" s="4">
        <v>100</v>
      </c>
      <c r="H98" s="3" t="s">
        <v>417</v>
      </c>
      <c r="I98" s="17">
        <v>3.3</v>
      </c>
      <c r="O98" s="5" t="e">
        <f t="shared" si="54"/>
        <v>#DIV/0!</v>
      </c>
      <c r="P98" s="5" t="e">
        <f t="shared" si="55"/>
        <v>#DIV/0!</v>
      </c>
      <c r="Q98" s="3">
        <f t="shared" si="56"/>
        <v>0</v>
      </c>
      <c r="T98" s="8"/>
      <c r="AA98" s="5" t="e">
        <f t="shared" si="57"/>
        <v>#DIV/0!</v>
      </c>
      <c r="AB98" s="5" t="e">
        <f t="shared" si="58"/>
        <v>#DIV/0!</v>
      </c>
      <c r="AC98" s="3">
        <f t="shared" si="59"/>
        <v>0</v>
      </c>
    </row>
    <row r="99" spans="1:29" ht="25.5">
      <c r="A99" s="8"/>
      <c r="G99" s="4">
        <v>20</v>
      </c>
      <c r="H99" s="11" t="s">
        <v>418</v>
      </c>
      <c r="I99" s="11">
        <v>0.12</v>
      </c>
      <c r="J99" s="20"/>
      <c r="K99" s="20"/>
      <c r="L99" s="20"/>
      <c r="M99" s="20"/>
      <c r="N99" s="20"/>
      <c r="O99" s="27" t="e">
        <f t="shared" si="54"/>
        <v>#DIV/0!</v>
      </c>
      <c r="P99" s="27" t="e">
        <f t="shared" si="55"/>
        <v>#DIV/0!</v>
      </c>
      <c r="Q99" s="11">
        <f t="shared" si="56"/>
        <v>0</v>
      </c>
      <c r="T99" s="8"/>
      <c r="U99" s="20"/>
      <c r="V99" s="20"/>
      <c r="W99" s="20"/>
      <c r="X99" s="20"/>
      <c r="Y99" s="20"/>
      <c r="Z99" s="20"/>
      <c r="AA99" s="190" t="e">
        <f t="shared" si="57"/>
        <v>#DIV/0!</v>
      </c>
      <c r="AB99" s="190" t="e">
        <f t="shared" si="58"/>
        <v>#DIV/0!</v>
      </c>
      <c r="AC99" s="191">
        <f t="shared" si="59"/>
        <v>0</v>
      </c>
    </row>
    <row r="100" spans="1:29" ht="25.5">
      <c r="A100" s="8"/>
      <c r="G100" s="4">
        <v>40</v>
      </c>
      <c r="H100" s="11" t="s">
        <v>418</v>
      </c>
      <c r="I100" s="11">
        <v>0.12</v>
      </c>
      <c r="J100" s="20"/>
      <c r="K100" s="20"/>
      <c r="L100" s="20"/>
      <c r="M100" s="20"/>
      <c r="N100" s="20"/>
      <c r="O100" s="27" t="e">
        <f t="shared" si="54"/>
        <v>#DIV/0!</v>
      </c>
      <c r="P100" s="27" t="e">
        <f t="shared" si="55"/>
        <v>#DIV/0!</v>
      </c>
      <c r="Q100" s="11">
        <f t="shared" si="56"/>
        <v>0</v>
      </c>
      <c r="T100" s="8"/>
      <c r="U100" s="20"/>
      <c r="V100" s="20"/>
      <c r="W100" s="20"/>
      <c r="X100" s="20"/>
      <c r="Y100" s="20"/>
      <c r="Z100" s="20"/>
      <c r="AA100" s="190" t="e">
        <f t="shared" si="57"/>
        <v>#DIV/0!</v>
      </c>
      <c r="AB100" s="190" t="e">
        <f t="shared" si="58"/>
        <v>#DIV/0!</v>
      </c>
      <c r="AC100" s="191">
        <f t="shared" si="59"/>
        <v>0</v>
      </c>
    </row>
    <row r="101" spans="1:29" ht="25.5">
      <c r="A101" s="8"/>
      <c r="G101" s="4">
        <v>100</v>
      </c>
      <c r="H101" s="11" t="s">
        <v>418</v>
      </c>
      <c r="I101" s="11">
        <v>0.12</v>
      </c>
      <c r="J101" s="20"/>
      <c r="K101" s="20"/>
      <c r="L101" s="20"/>
      <c r="M101" s="20"/>
      <c r="N101" s="20"/>
      <c r="O101" s="27" t="e">
        <f t="shared" si="54"/>
        <v>#DIV/0!</v>
      </c>
      <c r="P101" s="27" t="e">
        <f t="shared" si="55"/>
        <v>#DIV/0!</v>
      </c>
      <c r="Q101" s="11">
        <f t="shared" si="56"/>
        <v>0</v>
      </c>
      <c r="T101" s="8"/>
      <c r="U101" s="20"/>
      <c r="V101" s="20"/>
      <c r="W101" s="20"/>
      <c r="X101" s="20"/>
      <c r="Y101" s="20"/>
      <c r="Z101" s="20"/>
      <c r="AA101" s="190" t="e">
        <f t="shared" si="57"/>
        <v>#DIV/0!</v>
      </c>
      <c r="AB101" s="190" t="e">
        <f t="shared" si="58"/>
        <v>#DIV/0!</v>
      </c>
      <c r="AC101" s="191">
        <f t="shared" si="59"/>
        <v>0</v>
      </c>
    </row>
    <row r="102" spans="1:29">
      <c r="A102" s="8"/>
      <c r="T102" s="8"/>
      <c r="AA102" s="5"/>
    </row>
    <row r="103" spans="1:29">
      <c r="A103" s="8"/>
      <c r="O103" s="5"/>
      <c r="T103" s="8"/>
      <c r="AA103" s="5"/>
    </row>
    <row r="104" spans="1:29">
      <c r="A104" s="244" t="s">
        <v>432</v>
      </c>
      <c r="B104" s="9" t="s">
        <v>49</v>
      </c>
      <c r="C104" s="9"/>
      <c r="D104" s="9" t="s">
        <v>49</v>
      </c>
      <c r="E104" s="9"/>
      <c r="F104" s="9"/>
      <c r="G104" s="10"/>
      <c r="H104" s="13"/>
      <c r="I104" s="13"/>
      <c r="J104" s="16"/>
      <c r="K104" s="16"/>
      <c r="L104" s="16"/>
      <c r="M104" s="16"/>
      <c r="N104" s="16"/>
      <c r="O104" s="26"/>
      <c r="P104" s="26"/>
      <c r="Q104" s="13"/>
      <c r="T104" s="244" t="s">
        <v>432</v>
      </c>
      <c r="U104" s="16"/>
      <c r="V104" s="16"/>
      <c r="W104" s="16"/>
      <c r="X104" s="16"/>
      <c r="Y104" s="16"/>
      <c r="Z104" s="16"/>
      <c r="AA104" s="26"/>
      <c r="AB104" s="26"/>
      <c r="AC104" s="13"/>
    </row>
    <row r="105" spans="1:29" ht="25.5">
      <c r="A105" s="244"/>
      <c r="B105" s="3" t="s">
        <v>413</v>
      </c>
      <c r="C105" s="3" t="s">
        <v>414</v>
      </c>
      <c r="D105" s="3" t="s">
        <v>433</v>
      </c>
      <c r="E105" s="3" t="s">
        <v>416</v>
      </c>
      <c r="H105" s="3" t="s">
        <v>417</v>
      </c>
      <c r="I105" s="17">
        <v>1.6</v>
      </c>
      <c r="J105" s="2">
        <f>UL_OH!R9*4.17</f>
        <v>4.2791578733766231</v>
      </c>
      <c r="O105" s="5">
        <f>AVERAGE(J105:N105)</f>
        <v>4.2791578733766231</v>
      </c>
      <c r="P105" s="5" t="e">
        <f>SQRT(VAR(J105:N105))</f>
        <v>#DIV/0!</v>
      </c>
      <c r="Q105" s="3">
        <f>COUNT(J105:N105)</f>
        <v>1</v>
      </c>
      <c r="T105" s="244"/>
      <c r="U105" s="2">
        <f>UL_OH!R9*4.184</f>
        <v>4.293524350649351</v>
      </c>
      <c r="AA105" s="5">
        <f>AVERAGE(U105:Z105)</f>
        <v>4.293524350649351</v>
      </c>
      <c r="AB105" s="5" t="e">
        <f>SQRT(VAR(U105:Z105))</f>
        <v>#DIV/0!</v>
      </c>
      <c r="AC105" s="3">
        <f>COUNT(U105:Z105)</f>
        <v>1</v>
      </c>
    </row>
    <row r="106" spans="1:29" ht="25.5">
      <c r="A106" s="244"/>
      <c r="H106" s="11" t="s">
        <v>418</v>
      </c>
      <c r="I106" s="11">
        <v>4.4999999999999998E-2</v>
      </c>
      <c r="J106" s="20">
        <f>UL_OH!R9*0.134</f>
        <v>0.13750771103896103</v>
      </c>
      <c r="K106" s="20"/>
      <c r="L106" s="20"/>
      <c r="M106" s="20"/>
      <c r="N106" s="20"/>
      <c r="O106" s="27">
        <f>AVERAGE(J106:N106)</f>
        <v>0.13750771103896103</v>
      </c>
      <c r="P106" s="27" t="e">
        <f>SQRT(VAR(J106:N106))</f>
        <v>#DIV/0!</v>
      </c>
      <c r="Q106" s="11">
        <f>COUNT(J106:N106)</f>
        <v>1</v>
      </c>
      <c r="T106" s="244"/>
      <c r="U106" s="20">
        <f>UL_OH!R9*0.125</f>
        <v>0.1282721185064935</v>
      </c>
      <c r="V106" s="20"/>
      <c r="W106" s="20"/>
      <c r="X106" s="20"/>
      <c r="Y106" s="20"/>
      <c r="Z106" s="20"/>
      <c r="AA106" s="190">
        <f>AVERAGE(U106:Z106)</f>
        <v>0.1282721185064935</v>
      </c>
      <c r="AB106" s="190" t="e">
        <f>SQRT(VAR(U106:Z106))</f>
        <v>#DIV/0!</v>
      </c>
      <c r="AC106" s="191">
        <f>COUNT(U106:Z106)</f>
        <v>1</v>
      </c>
    </row>
    <row r="107" spans="1:29">
      <c r="A107" s="244"/>
      <c r="O107" s="5"/>
      <c r="T107" s="244"/>
      <c r="AA107" s="5"/>
    </row>
    <row r="108" spans="1:29">
      <c r="A108" s="244"/>
      <c r="O108" s="5"/>
      <c r="T108" s="244"/>
      <c r="AA108" s="5"/>
    </row>
    <row r="109" spans="1:29" ht="25.5">
      <c r="A109" s="244"/>
      <c r="B109" s="3" t="s">
        <v>413</v>
      </c>
      <c r="C109" s="3" t="s">
        <v>423</v>
      </c>
      <c r="D109" s="3" t="s">
        <v>434</v>
      </c>
      <c r="E109" s="3" t="s">
        <v>416</v>
      </c>
      <c r="H109" s="3" t="s">
        <v>417</v>
      </c>
      <c r="I109" s="17">
        <v>1.6</v>
      </c>
      <c r="O109" s="5" t="e">
        <f>AVERAGE(J109:N109)</f>
        <v>#DIV/0!</v>
      </c>
      <c r="P109" s="5" t="e">
        <f>SQRT(VAR(J109:N109))</f>
        <v>#DIV/0!</v>
      </c>
      <c r="Q109" s="3">
        <f>COUNT(J109:N109)</f>
        <v>0</v>
      </c>
      <c r="T109" s="244"/>
      <c r="AA109" s="5" t="e">
        <f>AVERAGE(U109:Z109)</f>
        <v>#DIV/0!</v>
      </c>
      <c r="AB109" s="5" t="e">
        <f>SQRT(VAR(U109:Z109))</f>
        <v>#DIV/0!</v>
      </c>
      <c r="AC109" s="3">
        <f>COUNT(U109:Z109)</f>
        <v>0</v>
      </c>
    </row>
    <row r="110" spans="1:29" ht="25.5">
      <c r="A110" s="244"/>
      <c r="H110" s="11" t="s">
        <v>418</v>
      </c>
      <c r="I110" s="11">
        <v>4.4999999999999998E-2</v>
      </c>
      <c r="J110" s="20"/>
      <c r="K110" s="20"/>
      <c r="L110" s="20"/>
      <c r="M110" s="20"/>
      <c r="N110" s="20"/>
      <c r="O110" s="27" t="e">
        <f>AVERAGE(J110:N110)</f>
        <v>#DIV/0!</v>
      </c>
      <c r="P110" s="27" t="e">
        <f>SQRT(VAR(J110:N110))</f>
        <v>#DIV/0!</v>
      </c>
      <c r="Q110" s="11">
        <f>COUNT(J110:N110)</f>
        <v>0</v>
      </c>
      <c r="T110" s="244"/>
      <c r="U110" s="20"/>
      <c r="V110" s="20"/>
      <c r="W110" s="20"/>
      <c r="X110" s="20"/>
      <c r="Y110" s="20"/>
      <c r="Z110" s="20"/>
      <c r="AA110" s="190" t="e">
        <f>AVERAGE(U110:Z110)</f>
        <v>#DIV/0!</v>
      </c>
      <c r="AB110" s="190" t="e">
        <f>SQRT(VAR(U110:Z110))</f>
        <v>#DIV/0!</v>
      </c>
      <c r="AC110" s="191">
        <f>COUNT(U110:Z110)</f>
        <v>0</v>
      </c>
    </row>
    <row r="111" spans="1:29">
      <c r="A111" s="244"/>
      <c r="O111" s="5"/>
      <c r="T111" s="244"/>
      <c r="AA111" s="5"/>
    </row>
    <row r="112" spans="1:29" ht="25.5">
      <c r="A112" s="244"/>
      <c r="B112" s="29" t="s">
        <v>413</v>
      </c>
      <c r="C112" s="3" t="s">
        <v>414</v>
      </c>
      <c r="D112" s="29" t="s">
        <v>435</v>
      </c>
      <c r="E112" s="3" t="s">
        <v>416</v>
      </c>
      <c r="H112" s="3" t="s">
        <v>417</v>
      </c>
      <c r="I112" s="17">
        <v>1.6</v>
      </c>
      <c r="J112" s="2">
        <f>UL_OH!R9*6.181</f>
        <v>6.3427997159090905</v>
      </c>
      <c r="K112" s="2">
        <v>5.63</v>
      </c>
      <c r="O112" s="5">
        <f>AVERAGE(J112:N112)</f>
        <v>5.9863998579545452</v>
      </c>
      <c r="P112" s="5">
        <f>SQRT(VAR(J112:N112))</f>
        <v>0.50402551274716256</v>
      </c>
      <c r="Q112" s="3">
        <f>COUNT(J112:N112)</f>
        <v>2</v>
      </c>
      <c r="T112" s="244"/>
      <c r="U112" s="2">
        <f>UL_OH!R9*6.204</f>
        <v>6.3664017857142854</v>
      </c>
      <c r="V112" s="2">
        <v>5.65</v>
      </c>
      <c r="AA112" s="5">
        <f>AVERAGE(U112:Z112)</f>
        <v>6.0082008928571433</v>
      </c>
      <c r="AB112" s="5">
        <f>SQRT(VAR(U112:Z112))</f>
        <v>0.50657256073272283</v>
      </c>
      <c r="AC112" s="3">
        <f>COUNT(U112:Z112)</f>
        <v>2</v>
      </c>
    </row>
    <row r="113" spans="1:29" ht="25.5">
      <c r="A113" s="244"/>
      <c r="H113" s="11" t="s">
        <v>418</v>
      </c>
      <c r="I113" s="11">
        <v>4.4999999999999998E-2</v>
      </c>
      <c r="J113" s="20">
        <f>UL_OH!R9*0.14</f>
        <v>0.14366477272727274</v>
      </c>
      <c r="K113" s="20">
        <v>0.24299999999999999</v>
      </c>
      <c r="L113" s="20"/>
      <c r="M113" s="20"/>
      <c r="N113" s="20"/>
      <c r="O113" s="27">
        <f>AVERAGE(J113:N113)</f>
        <v>0.19333238636363637</v>
      </c>
      <c r="P113" s="27">
        <f>SQRT(VAR(J113:N113))</f>
        <v>7.0240612815252304E-2</v>
      </c>
      <c r="Q113" s="11">
        <f>COUNT(J113:N113)</f>
        <v>2</v>
      </c>
      <c r="T113" s="244"/>
      <c r="U113" s="20">
        <f>UL_OH!R9*0.133</f>
        <v>0.1364815340909091</v>
      </c>
      <c r="V113" s="20">
        <v>0.214</v>
      </c>
      <c r="W113" s="20"/>
      <c r="X113" s="20"/>
      <c r="Y113" s="20"/>
      <c r="Z113" s="20"/>
      <c r="AA113" s="190">
        <f>AVERAGE(U113:Z113)</f>
        <v>0.17524076704545455</v>
      </c>
      <c r="AB113" s="190">
        <f>SQRT(VAR(U113:Z113))</f>
        <v>5.4813832911496371E-2</v>
      </c>
      <c r="AC113" s="191">
        <f>COUNT(U113:Z113)</f>
        <v>2</v>
      </c>
    </row>
    <row r="114" spans="1:29">
      <c r="A114" s="244"/>
      <c r="O114" s="5"/>
      <c r="T114" s="244"/>
      <c r="AA114" s="5"/>
    </row>
    <row r="115" spans="1:29">
      <c r="A115" s="244"/>
      <c r="O115" s="5"/>
      <c r="T115" s="244"/>
      <c r="AA115" s="5"/>
    </row>
    <row r="116" spans="1:29" ht="25.5">
      <c r="A116" s="244"/>
      <c r="B116" s="3" t="s">
        <v>413</v>
      </c>
      <c r="C116" s="3" t="s">
        <v>414</v>
      </c>
      <c r="D116" s="3" t="s">
        <v>435</v>
      </c>
      <c r="E116" s="3" t="s">
        <v>416</v>
      </c>
      <c r="H116" s="3" t="s">
        <v>417</v>
      </c>
      <c r="I116" s="37">
        <v>1.6</v>
      </c>
      <c r="O116" s="5" t="e">
        <f>AVERAGE(J116:N116)</f>
        <v>#DIV/0!</v>
      </c>
      <c r="P116" s="5" t="e">
        <f>SQRT(VAR(J116:N116))</f>
        <v>#DIV/0!</v>
      </c>
      <c r="Q116" s="3">
        <f>COUNT(J116:N116)</f>
        <v>0</v>
      </c>
      <c r="T116" s="244"/>
      <c r="AA116" s="5" t="e">
        <f>AVERAGE(U116:Z116)</f>
        <v>#DIV/0!</v>
      </c>
      <c r="AB116" s="5" t="e">
        <f>SQRT(VAR(U116:Z116))</f>
        <v>#DIV/0!</v>
      </c>
      <c r="AC116" s="3">
        <f>COUNT(U116:Z116)</f>
        <v>0</v>
      </c>
    </row>
    <row r="117" spans="1:29" ht="25.5">
      <c r="A117" s="244"/>
      <c r="H117" s="11" t="s">
        <v>418</v>
      </c>
      <c r="I117" s="11">
        <v>4.4999999999999998E-2</v>
      </c>
      <c r="J117" s="20"/>
      <c r="K117" s="20"/>
      <c r="L117" s="20"/>
      <c r="M117" s="20"/>
      <c r="N117" s="20"/>
      <c r="O117" s="27" t="e">
        <f>AVERAGE(J117:N117)</f>
        <v>#DIV/0!</v>
      </c>
      <c r="P117" s="27" t="e">
        <f>SQRT(VAR(J117:N117))</f>
        <v>#DIV/0!</v>
      </c>
      <c r="Q117" s="11">
        <f>COUNT(J117:N117)</f>
        <v>0</v>
      </c>
      <c r="T117" s="244"/>
      <c r="U117" s="20"/>
      <c r="V117" s="20"/>
      <c r="W117" s="20"/>
      <c r="X117" s="20"/>
      <c r="Y117" s="20"/>
      <c r="Z117" s="20"/>
      <c r="AA117" s="190" t="e">
        <f>AVERAGE(U117:Z117)</f>
        <v>#DIV/0!</v>
      </c>
      <c r="AB117" s="190" t="e">
        <f>SQRT(VAR(U117:Z117))</f>
        <v>#DIV/0!</v>
      </c>
      <c r="AC117" s="191">
        <f>COUNT(U117:Z117)</f>
        <v>0</v>
      </c>
    </row>
    <row r="118" spans="1:29">
      <c r="A118" s="244"/>
      <c r="O118" s="5"/>
      <c r="T118" s="244"/>
      <c r="AA118" s="5"/>
    </row>
    <row r="119" spans="1:29">
      <c r="A119" s="244"/>
      <c r="B119" s="9" t="s">
        <v>50</v>
      </c>
      <c r="C119" s="9"/>
      <c r="D119" s="9" t="s">
        <v>50</v>
      </c>
      <c r="E119" s="9"/>
      <c r="F119" s="9"/>
      <c r="G119" s="10"/>
      <c r="H119" s="13"/>
      <c r="I119" s="13"/>
      <c r="J119" s="16"/>
      <c r="K119" s="16"/>
      <c r="L119" s="16"/>
      <c r="M119" s="16"/>
      <c r="N119" s="16"/>
      <c r="O119" s="26"/>
      <c r="P119" s="26"/>
      <c r="Q119" s="13"/>
      <c r="T119" s="244"/>
      <c r="U119" s="16"/>
      <c r="V119" s="16"/>
      <c r="W119" s="16"/>
      <c r="X119" s="16"/>
      <c r="Y119" s="16"/>
      <c r="Z119" s="16"/>
      <c r="AA119" s="26"/>
      <c r="AB119" s="26"/>
      <c r="AC119" s="13"/>
    </row>
    <row r="120" spans="1:29" ht="38.25">
      <c r="A120" s="244"/>
      <c r="B120" s="3" t="s">
        <v>413</v>
      </c>
      <c r="C120" s="3" t="s">
        <v>414</v>
      </c>
      <c r="D120" s="3" t="s">
        <v>436</v>
      </c>
      <c r="E120" s="3" t="s">
        <v>429</v>
      </c>
      <c r="F120" s="3" t="s">
        <v>69</v>
      </c>
      <c r="H120" s="3" t="s">
        <v>417</v>
      </c>
      <c r="I120" s="17">
        <v>1.6</v>
      </c>
      <c r="J120" s="2">
        <f>UL_OH!R28*5.159</f>
        <v>4.751482352941176</v>
      </c>
      <c r="O120" s="5">
        <f>AVERAGE(J120:N120)</f>
        <v>4.751482352941176</v>
      </c>
      <c r="P120" s="5" t="e">
        <f>SQRT(VAR(J120:N120))</f>
        <v>#DIV/0!</v>
      </c>
      <c r="Q120" s="3">
        <f>COUNT(J120:N120)</f>
        <v>1</v>
      </c>
      <c r="T120" s="244"/>
      <c r="U120" s="2">
        <f>UL_OH!R28*5.171</f>
        <v>4.7625344537815124</v>
      </c>
      <c r="AA120" s="5">
        <f>AVERAGE(U120:Z120)</f>
        <v>4.7625344537815124</v>
      </c>
      <c r="AB120" s="5" t="e">
        <f>SQRT(VAR(U120:Z120))</f>
        <v>#DIV/0!</v>
      </c>
      <c r="AC120" s="3">
        <f>COUNT(U120:Z120)</f>
        <v>1</v>
      </c>
    </row>
    <row r="121" spans="1:29" ht="25.5">
      <c r="A121" s="244"/>
      <c r="H121" s="11" t="s">
        <v>418</v>
      </c>
      <c r="I121" s="11">
        <v>4.4999999999999998E-2</v>
      </c>
      <c r="J121" s="20">
        <f>UL_OH!R28*0.113</f>
        <v>0.10407394957983193</v>
      </c>
      <c r="K121" s="20"/>
      <c r="L121" s="20"/>
      <c r="M121" s="20"/>
      <c r="N121" s="20"/>
      <c r="O121" s="27">
        <f>AVERAGE(J121:N121)</f>
        <v>0.10407394957983193</v>
      </c>
      <c r="P121" s="27" t="e">
        <f>SQRT(VAR(J121:N121))</f>
        <v>#DIV/0!</v>
      </c>
      <c r="Q121" s="11">
        <f>COUNT(J121:N121)</f>
        <v>1</v>
      </c>
      <c r="T121" s="244"/>
      <c r="U121" s="20">
        <f>UL_OH!R28*0.107</f>
        <v>9.854789915966386E-2</v>
      </c>
      <c r="V121" s="20"/>
      <c r="W121" s="20"/>
      <c r="X121" s="20"/>
      <c r="Y121" s="20"/>
      <c r="Z121" s="20"/>
      <c r="AA121" s="190">
        <f>AVERAGE(U121:Z121)</f>
        <v>9.854789915966386E-2</v>
      </c>
      <c r="AB121" s="190" t="e">
        <f>SQRT(VAR(U121:Z121))</f>
        <v>#DIV/0!</v>
      </c>
      <c r="AC121" s="191">
        <f>COUNT(U121:Z121)</f>
        <v>1</v>
      </c>
    </row>
    <row r="122" spans="1:29">
      <c r="A122" s="30"/>
      <c r="O122" s="5"/>
      <c r="T122" s="30"/>
      <c r="AA122" s="5"/>
    </row>
    <row r="123" spans="1:29" ht="38.25">
      <c r="A123" s="30"/>
      <c r="B123" s="3" t="s">
        <v>413</v>
      </c>
      <c r="C123" s="3" t="s">
        <v>414</v>
      </c>
      <c r="D123" s="3" t="s">
        <v>436</v>
      </c>
      <c r="E123" s="3" t="s">
        <v>416</v>
      </c>
      <c r="F123" s="3" t="s">
        <v>69</v>
      </c>
      <c r="H123" s="3" t="s">
        <v>417</v>
      </c>
      <c r="I123" s="17">
        <v>1.6</v>
      </c>
      <c r="J123" s="2">
        <f>UL_OH!R28*5.517</f>
        <v>5.0812033613445378</v>
      </c>
      <c r="O123" s="5">
        <f>AVERAGE(J123:N123)</f>
        <v>5.0812033613445378</v>
      </c>
      <c r="P123" s="5" t="e">
        <f>SQRT(VAR(J123:N123))</f>
        <v>#DIV/0!</v>
      </c>
      <c r="Q123" s="3">
        <f>COUNT(J123:N123)</f>
        <v>1</v>
      </c>
      <c r="T123" s="30"/>
      <c r="U123" s="2">
        <f>UL_OH!R28*5.483</f>
        <v>5.0498890756302517</v>
      </c>
      <c r="AA123" s="5">
        <f>AVERAGE(U123:Z123)</f>
        <v>5.0498890756302517</v>
      </c>
      <c r="AB123" s="5" t="e">
        <f>SQRT(VAR(U123:Z123))</f>
        <v>#DIV/0!</v>
      </c>
      <c r="AC123" s="3">
        <f>COUNT(U123:Z123)</f>
        <v>1</v>
      </c>
    </row>
    <row r="124" spans="1:29" ht="25.5">
      <c r="A124" s="30"/>
      <c r="H124" s="11" t="s">
        <v>418</v>
      </c>
      <c r="I124" s="11">
        <v>4.4999999999999998E-2</v>
      </c>
      <c r="J124" s="20">
        <f>UL_OH!R28*0.104</f>
        <v>9.5784873949579824E-2</v>
      </c>
      <c r="K124" s="20"/>
      <c r="L124" s="20"/>
      <c r="M124" s="20"/>
      <c r="N124" s="20"/>
      <c r="O124" s="27">
        <f>AVERAGE(J124:N124)</f>
        <v>9.5784873949579824E-2</v>
      </c>
      <c r="P124" s="27" t="e">
        <f>SQRT(VAR(J124:N124))</f>
        <v>#DIV/0!</v>
      </c>
      <c r="Q124" s="11">
        <f>COUNT(J124:N124)</f>
        <v>1</v>
      </c>
      <c r="T124" s="30"/>
      <c r="U124" s="20">
        <f>UL_OH!R28*0.094</f>
        <v>8.6574789915966385E-2</v>
      </c>
      <c r="V124" s="20"/>
      <c r="W124" s="20"/>
      <c r="X124" s="20"/>
      <c r="Y124" s="20"/>
      <c r="Z124" s="20"/>
      <c r="AA124" s="190">
        <f>AVERAGE(U124:Z124)</f>
        <v>8.6574789915966385E-2</v>
      </c>
      <c r="AB124" s="190" t="e">
        <f>SQRT(VAR(U124:Z124))</f>
        <v>#DIV/0!</v>
      </c>
      <c r="AC124" s="191">
        <f>COUNT(U124:Z124)</f>
        <v>1</v>
      </c>
    </row>
    <row r="125" spans="1:29">
      <c r="A125" s="30"/>
      <c r="O125" s="5"/>
      <c r="T125" s="30"/>
      <c r="AA125" s="5"/>
    </row>
    <row r="126" spans="1:29" ht="38.25">
      <c r="A126" s="30"/>
      <c r="B126" s="3" t="s">
        <v>413</v>
      </c>
      <c r="C126" s="3" t="s">
        <v>423</v>
      </c>
      <c r="D126" s="3" t="s">
        <v>437</v>
      </c>
      <c r="E126" s="3" t="s">
        <v>416</v>
      </c>
      <c r="F126" s="3" t="s">
        <v>70</v>
      </c>
      <c r="H126" s="3" t="s">
        <v>417</v>
      </c>
      <c r="I126" s="17">
        <v>1.6</v>
      </c>
      <c r="O126" s="5" t="e">
        <f>AVERAGE(J126:N126)</f>
        <v>#DIV/0!</v>
      </c>
      <c r="P126" s="5" t="e">
        <f>SQRT(VAR(J126:N126))</f>
        <v>#DIV/0!</v>
      </c>
      <c r="Q126" s="3">
        <f>COUNT(J126:N126)</f>
        <v>0</v>
      </c>
      <c r="T126" s="30"/>
      <c r="AA126" s="5" t="e">
        <f>AVERAGE(U126:Z126)</f>
        <v>#DIV/0!</v>
      </c>
      <c r="AB126" s="5" t="e">
        <f>SQRT(VAR(U126:Z126))</f>
        <v>#DIV/0!</v>
      </c>
      <c r="AC126" s="3">
        <f>COUNT(U126:Z126)</f>
        <v>0</v>
      </c>
    </row>
    <row r="127" spans="1:29" ht="25.5">
      <c r="A127" s="30"/>
      <c r="H127" s="11" t="s">
        <v>418</v>
      </c>
      <c r="I127" s="11">
        <v>4.4999999999999998E-2</v>
      </c>
      <c r="J127" s="20"/>
      <c r="K127" s="20"/>
      <c r="L127" s="20"/>
      <c r="M127" s="20"/>
      <c r="N127" s="20"/>
      <c r="O127" s="27" t="e">
        <f>AVERAGE(J127:N127)</f>
        <v>#DIV/0!</v>
      </c>
      <c r="P127" s="27" t="e">
        <f>SQRT(VAR(J127:N127))</f>
        <v>#DIV/0!</v>
      </c>
      <c r="Q127" s="11">
        <f>COUNT(J127:N127)</f>
        <v>0</v>
      </c>
      <c r="T127" s="30"/>
      <c r="U127" s="20"/>
      <c r="V127" s="20"/>
      <c r="W127" s="20"/>
      <c r="X127" s="20"/>
      <c r="Y127" s="20"/>
      <c r="Z127" s="20"/>
      <c r="AA127" s="190" t="e">
        <f>AVERAGE(U127:Z127)</f>
        <v>#DIV/0!</v>
      </c>
      <c r="AB127" s="190" t="e">
        <f>SQRT(VAR(U127:Z127))</f>
        <v>#DIV/0!</v>
      </c>
      <c r="AC127" s="191">
        <f>COUNT(U127:Z127)</f>
        <v>0</v>
      </c>
    </row>
    <row r="128" spans="1:29" ht="13.9" customHeight="1">
      <c r="A128" s="30"/>
      <c r="O128" s="5"/>
      <c r="T128" s="30"/>
      <c r="AA128" s="5"/>
    </row>
    <row r="129" spans="1:29" ht="25.5">
      <c r="A129" s="30"/>
      <c r="B129" s="29" t="s">
        <v>413</v>
      </c>
      <c r="C129" s="3" t="s">
        <v>414</v>
      </c>
      <c r="D129" s="29" t="s">
        <v>435</v>
      </c>
      <c r="E129" s="3" t="s">
        <v>416</v>
      </c>
      <c r="F129" s="3" t="s">
        <v>70</v>
      </c>
      <c r="H129" s="3" t="s">
        <v>417</v>
      </c>
      <c r="I129" s="17">
        <v>1.6</v>
      </c>
      <c r="K129" s="2">
        <v>4.4400000000000004</v>
      </c>
      <c r="O129" s="5">
        <f>AVERAGE(J129:N129)</f>
        <v>4.4400000000000004</v>
      </c>
      <c r="P129" s="5" t="e">
        <f>SQRT(VAR(J129:N129))</f>
        <v>#DIV/0!</v>
      </c>
      <c r="Q129" s="3">
        <f>COUNT(J129:N129)</f>
        <v>1</v>
      </c>
      <c r="T129" s="30"/>
      <c r="V129" s="2">
        <v>4.45</v>
      </c>
      <c r="AA129" s="5">
        <f>AVERAGE(U129:Z129)</f>
        <v>4.45</v>
      </c>
      <c r="AB129" s="5" t="e">
        <f>SQRT(VAR(U129:Z129))</f>
        <v>#DIV/0!</v>
      </c>
      <c r="AC129" s="3">
        <f>COUNT(U129:Z129)</f>
        <v>1</v>
      </c>
    </row>
    <row r="130" spans="1:29" ht="25.5">
      <c r="A130" s="30"/>
      <c r="H130" s="11" t="s">
        <v>418</v>
      </c>
      <c r="I130" s="11">
        <v>4.4999999999999998E-2</v>
      </c>
      <c r="J130" s="20"/>
      <c r="K130" s="20">
        <v>0.18099999999999999</v>
      </c>
      <c r="L130" s="20"/>
      <c r="M130" s="20"/>
      <c r="N130" s="20"/>
      <c r="O130" s="27">
        <f>AVERAGE(J130:N130)</f>
        <v>0.18099999999999999</v>
      </c>
      <c r="P130" s="27" t="e">
        <f>SQRT(VAR(J130:N130))</f>
        <v>#DIV/0!</v>
      </c>
      <c r="Q130" s="11">
        <f>COUNT(J130:N130)</f>
        <v>1</v>
      </c>
      <c r="T130" s="244"/>
      <c r="U130" s="20"/>
      <c r="V130" s="20">
        <v>0.16300000000000001</v>
      </c>
      <c r="W130" s="20"/>
      <c r="X130" s="20"/>
      <c r="Y130" s="20"/>
      <c r="Z130" s="20"/>
      <c r="AA130" s="190">
        <f>AVERAGE(U130:Z130)</f>
        <v>0.16300000000000001</v>
      </c>
      <c r="AB130" s="190" t="e">
        <f>SQRT(VAR(U130:Z130))</f>
        <v>#DIV/0!</v>
      </c>
      <c r="AC130" s="191">
        <f>COUNT(U130:Z130)</f>
        <v>1</v>
      </c>
    </row>
    <row r="131" spans="1:29">
      <c r="A131" s="30"/>
      <c r="O131" s="5"/>
      <c r="T131" s="244"/>
    </row>
    <row r="132" spans="1:29" ht="38.25">
      <c r="A132" s="30"/>
      <c r="B132" s="29" t="s">
        <v>413</v>
      </c>
      <c r="C132" s="3" t="s">
        <v>414</v>
      </c>
      <c r="D132" s="29" t="s">
        <v>438</v>
      </c>
      <c r="E132" s="29" t="s">
        <v>429</v>
      </c>
      <c r="F132" s="3" t="s">
        <v>70</v>
      </c>
      <c r="H132" s="3" t="s">
        <v>417</v>
      </c>
      <c r="I132" s="17">
        <v>1.6</v>
      </c>
      <c r="K132" s="2">
        <v>4.18</v>
      </c>
      <c r="N132" s="2">
        <f>UL_OH!R26*5.726</f>
        <v>5.9899832532601236</v>
      </c>
      <c r="O132" s="5">
        <f>AVERAGE(J132:N132)</f>
        <v>5.0849916266300621</v>
      </c>
      <c r="P132" s="5">
        <f>SQRT(VAR(J132:N132))</f>
        <v>1.279851432214316</v>
      </c>
      <c r="Q132" s="3">
        <f>COUNT(J132:N132)</f>
        <v>2</v>
      </c>
      <c r="T132" s="244"/>
      <c r="V132" s="2">
        <v>4.22</v>
      </c>
      <c r="AA132" s="5">
        <f>AVERAGE(U132:Z132)</f>
        <v>4.22</v>
      </c>
      <c r="AB132" s="5" t="e">
        <f>SQRT(VAR(U132:Z132))</f>
        <v>#DIV/0!</v>
      </c>
      <c r="AC132" s="3">
        <f>COUNT(U132:Z132)</f>
        <v>1</v>
      </c>
    </row>
    <row r="133" spans="1:29" ht="25.5">
      <c r="A133" s="30"/>
      <c r="H133" s="11" t="s">
        <v>418</v>
      </c>
      <c r="I133" s="11">
        <v>4.4999999999999998E-2</v>
      </c>
      <c r="J133" s="20"/>
      <c r="K133" s="20">
        <v>0.17100000000000001</v>
      </c>
      <c r="L133" s="20"/>
      <c r="M133" s="20"/>
      <c r="N133" s="20">
        <f>UL_OH!R26*0.136</f>
        <v>0.14226994803412099</v>
      </c>
      <c r="O133" s="27">
        <f>AVERAGE(J133:N133)</f>
        <v>0.1566349740170605</v>
      </c>
      <c r="P133" s="27">
        <f>SQRT(VAR(J133:N133))</f>
        <v>2.0315214568914958E-2</v>
      </c>
      <c r="Q133" s="11">
        <f>COUNT(J133:N133)</f>
        <v>2</v>
      </c>
      <c r="T133" s="244"/>
      <c r="U133" s="20"/>
      <c r="V133" s="38">
        <v>0.16500000000000001</v>
      </c>
      <c r="W133" s="20"/>
      <c r="X133" s="20"/>
      <c r="Y133" s="20"/>
      <c r="Z133" s="20"/>
      <c r="AA133" s="190">
        <f>AVERAGE(U133:Z133)</f>
        <v>0.16500000000000001</v>
      </c>
      <c r="AB133" s="190" t="e">
        <f>SQRT(VAR(U133:Z133))</f>
        <v>#DIV/0!</v>
      </c>
      <c r="AC133" s="191">
        <f>COUNT(U133:Z133)</f>
        <v>1</v>
      </c>
    </row>
    <row r="134" spans="1:29">
      <c r="A134" s="30"/>
      <c r="O134" s="5"/>
      <c r="T134" s="244"/>
    </row>
    <row r="135" spans="1:29" ht="38.25">
      <c r="A135" s="30"/>
      <c r="B135" s="29" t="s">
        <v>413</v>
      </c>
      <c r="C135" s="3" t="s">
        <v>414</v>
      </c>
      <c r="D135" s="29" t="s">
        <v>439</v>
      </c>
      <c r="E135" s="3" t="s">
        <v>416</v>
      </c>
      <c r="F135" s="3" t="s">
        <v>70</v>
      </c>
      <c r="H135" s="3" t="s">
        <v>417</v>
      </c>
      <c r="I135" s="17">
        <v>1.6</v>
      </c>
      <c r="K135" s="2">
        <v>4.71</v>
      </c>
      <c r="O135" s="5">
        <f>AVERAGE(J135:N135)</f>
        <v>4.71</v>
      </c>
      <c r="P135" s="5" t="e">
        <f>SQRT(VAR(J135:N135))</f>
        <v>#DIV/0!</v>
      </c>
      <c r="Q135" s="3">
        <f>COUNT(J135:N135)</f>
        <v>1</v>
      </c>
      <c r="T135" s="244"/>
      <c r="V135" s="2">
        <v>4.74</v>
      </c>
      <c r="AA135" s="5">
        <f>AVERAGE(U135:Z135)</f>
        <v>4.74</v>
      </c>
      <c r="AB135" s="5" t="e">
        <f>SQRT(VAR(U135:Z135))</f>
        <v>#DIV/0!</v>
      </c>
      <c r="AC135" s="3">
        <f>COUNT(U135:Z135)</f>
        <v>1</v>
      </c>
    </row>
    <row r="136" spans="1:29" ht="25.5">
      <c r="A136" s="30"/>
      <c r="H136" s="11" t="s">
        <v>418</v>
      </c>
      <c r="I136" s="11">
        <v>4.4999999999999998E-2</v>
      </c>
      <c r="J136" s="20"/>
      <c r="K136" s="20">
        <v>0.19800000000000001</v>
      </c>
      <c r="L136" s="20"/>
      <c r="M136" s="20"/>
      <c r="N136" s="20"/>
      <c r="O136" s="27">
        <f>AVERAGE(J136:N136)</f>
        <v>0.19800000000000001</v>
      </c>
      <c r="P136" s="27" t="e">
        <f>SQRT(VAR(J136:N136))</f>
        <v>#DIV/0!</v>
      </c>
      <c r="Q136" s="11">
        <f>COUNT(J136:N136)</f>
        <v>1</v>
      </c>
      <c r="T136" s="244"/>
      <c r="U136" s="20"/>
      <c r="V136" s="20">
        <v>0.159</v>
      </c>
      <c r="W136" s="20"/>
      <c r="X136" s="20"/>
      <c r="Y136" s="20"/>
      <c r="Z136" s="20"/>
      <c r="AA136" s="190">
        <f>AVERAGE(U136:Z136)</f>
        <v>0.159</v>
      </c>
      <c r="AB136" s="190" t="e">
        <f>SQRT(VAR(U136:Z136))</f>
        <v>#DIV/0!</v>
      </c>
      <c r="AC136" s="191">
        <f>COUNT(U136:Z136)</f>
        <v>1</v>
      </c>
    </row>
    <row r="137" spans="1:29">
      <c r="A137" s="30"/>
      <c r="O137" s="5"/>
      <c r="T137" s="244"/>
    </row>
    <row r="138" spans="1:29" ht="38.25">
      <c r="A138" s="30"/>
      <c r="B138" s="29" t="s">
        <v>413</v>
      </c>
      <c r="C138" s="3" t="s">
        <v>414</v>
      </c>
      <c r="D138" s="29" t="s">
        <v>439</v>
      </c>
      <c r="E138" s="29" t="s">
        <v>429</v>
      </c>
      <c r="F138" s="3" t="s">
        <v>70</v>
      </c>
      <c r="H138" s="3" t="s">
        <v>417</v>
      </c>
      <c r="I138" s="17">
        <v>1.6</v>
      </c>
      <c r="K138" s="2">
        <v>4.51</v>
      </c>
      <c r="O138" s="5">
        <f>AVERAGE(J138:N138)</f>
        <v>4.51</v>
      </c>
      <c r="P138" s="5" t="e">
        <f>SQRT(VAR(J138:N138))</f>
        <v>#DIV/0!</v>
      </c>
      <c r="Q138" s="3">
        <f>COUNT(J138:N138)</f>
        <v>1</v>
      </c>
      <c r="T138" s="244"/>
      <c r="V138" s="2">
        <v>4.5599999999999996</v>
      </c>
      <c r="AA138" s="5">
        <f>AVERAGE(U138:Z138)</f>
        <v>4.5599999999999996</v>
      </c>
      <c r="AB138" s="5" t="e">
        <f>SQRT(VAR(U138:Z138))</f>
        <v>#DIV/0!</v>
      </c>
      <c r="AC138" s="3">
        <f>COUNT(U138:Z138)</f>
        <v>1</v>
      </c>
    </row>
    <row r="139" spans="1:29" ht="25.5">
      <c r="A139" s="30"/>
      <c r="H139" s="11" t="s">
        <v>418</v>
      </c>
      <c r="I139" s="11">
        <v>4.4999999999999998E-2</v>
      </c>
      <c r="J139" s="20"/>
      <c r="K139" s="20">
        <v>0.182</v>
      </c>
      <c r="L139" s="20"/>
      <c r="M139" s="20"/>
      <c r="N139" s="20"/>
      <c r="O139" s="27">
        <f>AVERAGE(J139:N139)</f>
        <v>0.182</v>
      </c>
      <c r="P139" s="27" t="e">
        <f>SQRT(VAR(J139:N139))</f>
        <v>#DIV/0!</v>
      </c>
      <c r="Q139" s="11">
        <f>COUNT(J139:N139)</f>
        <v>1</v>
      </c>
      <c r="T139" s="244"/>
      <c r="U139" s="20"/>
      <c r="V139" s="20">
        <v>0.14899999999999999</v>
      </c>
      <c r="W139" s="20"/>
      <c r="X139" s="20"/>
      <c r="Y139" s="20"/>
      <c r="Z139" s="20"/>
      <c r="AA139" s="190">
        <f>AVERAGE(U139:Z139)</f>
        <v>0.14899999999999999</v>
      </c>
      <c r="AB139" s="190" t="e">
        <f>SQRT(VAR(U139:Z139))</f>
        <v>#DIV/0!</v>
      </c>
      <c r="AC139" s="191">
        <f>COUNT(U139:Z139)</f>
        <v>1</v>
      </c>
    </row>
    <row r="140" spans="1:29">
      <c r="A140" s="30"/>
      <c r="H140" s="11"/>
      <c r="I140" s="11"/>
      <c r="J140" s="20"/>
      <c r="K140" s="20"/>
      <c r="L140" s="20"/>
      <c r="M140" s="20"/>
      <c r="N140" s="20"/>
      <c r="O140" s="27"/>
      <c r="P140" s="27"/>
      <c r="Q140" s="11"/>
      <c r="T140" s="244"/>
      <c r="U140" s="20"/>
      <c r="V140" s="20"/>
      <c r="W140" s="20"/>
      <c r="X140" s="20"/>
      <c r="Y140" s="20"/>
      <c r="Z140" s="20"/>
      <c r="AA140" s="27"/>
      <c r="AB140" s="27"/>
      <c r="AC140" s="11"/>
    </row>
    <row r="141" spans="1:29" ht="25.5">
      <c r="A141" s="30"/>
      <c r="B141" s="3" t="s">
        <v>413</v>
      </c>
      <c r="C141" s="3" t="s">
        <v>425</v>
      </c>
      <c r="D141" s="3" t="s">
        <v>440</v>
      </c>
      <c r="E141" s="3" t="s">
        <v>429</v>
      </c>
      <c r="F141" s="29" t="s">
        <v>72</v>
      </c>
      <c r="G141" s="32"/>
      <c r="H141" s="3" t="s">
        <v>417</v>
      </c>
      <c r="I141" s="17">
        <v>1.6</v>
      </c>
      <c r="O141" s="5" t="e">
        <f>AVERAGE(J141:N141)</f>
        <v>#DIV/0!</v>
      </c>
      <c r="P141" s="5" t="e">
        <f>SQRT(VAR(J141:N141))</f>
        <v>#DIV/0!</v>
      </c>
      <c r="Q141" s="3">
        <f>COUNT(J141:N141)</f>
        <v>0</v>
      </c>
      <c r="T141" s="244"/>
      <c r="AA141" s="5" t="e">
        <f>AVERAGE(U141:Z141)</f>
        <v>#DIV/0!</v>
      </c>
      <c r="AB141" s="5" t="e">
        <f>SQRT(VAR(U141:Z141))</f>
        <v>#DIV/0!</v>
      </c>
      <c r="AC141" s="3">
        <f>COUNT(U141:Z141)</f>
        <v>0</v>
      </c>
    </row>
    <row r="142" spans="1:29" ht="25.5">
      <c r="A142" s="30"/>
      <c r="H142" s="11" t="s">
        <v>418</v>
      </c>
      <c r="I142" s="11">
        <v>4.4999999999999998E-2</v>
      </c>
      <c r="J142" s="20"/>
      <c r="K142" s="20"/>
      <c r="L142" s="20"/>
      <c r="M142" s="20"/>
      <c r="N142" s="20"/>
      <c r="O142" s="27" t="e">
        <f>AVERAGE(J142:N142)</f>
        <v>#DIV/0!</v>
      </c>
      <c r="P142" s="27" t="e">
        <f>SQRT(VAR(J142:N142))</f>
        <v>#DIV/0!</v>
      </c>
      <c r="Q142" s="11">
        <f>COUNT(J142:N142)</f>
        <v>0</v>
      </c>
      <c r="T142" s="244"/>
      <c r="U142" s="20"/>
      <c r="V142" s="20"/>
      <c r="W142" s="20"/>
      <c r="X142" s="20"/>
      <c r="Y142" s="20"/>
      <c r="Z142" s="20"/>
      <c r="AA142" s="190" t="e">
        <f>AVERAGE(U142:Z142)</f>
        <v>#DIV/0!</v>
      </c>
      <c r="AB142" s="190" t="e">
        <f>SQRT(VAR(U142:Z142))</f>
        <v>#DIV/0!</v>
      </c>
      <c r="AC142" s="191">
        <f>COUNT(U142:Z142)</f>
        <v>0</v>
      </c>
    </row>
    <row r="143" spans="1:29">
      <c r="A143" s="30"/>
      <c r="O143" s="5"/>
      <c r="T143" s="244"/>
      <c r="AA143" s="5"/>
    </row>
    <row r="144" spans="1:29">
      <c r="A144" s="30"/>
      <c r="O144" s="5"/>
      <c r="AA144" s="5"/>
    </row>
    <row r="145" spans="15:27">
      <c r="O145" s="5"/>
      <c r="AA145" s="5"/>
    </row>
    <row r="146" spans="15:27">
      <c r="O146" s="5"/>
      <c r="AA146" s="5"/>
    </row>
    <row r="147" spans="15:27">
      <c r="O147" s="5"/>
      <c r="AA147" s="5"/>
    </row>
    <row r="148" spans="15:27">
      <c r="O148" s="5"/>
      <c r="AA148" s="5"/>
    </row>
    <row r="149" spans="15:27">
      <c r="O149" s="5"/>
      <c r="AA149" s="5"/>
    </row>
    <row r="150" spans="15:27">
      <c r="O150" s="5"/>
      <c r="AA150" s="5"/>
    </row>
    <row r="151" spans="15:27">
      <c r="O151" s="5"/>
      <c r="AA151" s="5"/>
    </row>
    <row r="152" spans="15:27">
      <c r="O152" s="5"/>
      <c r="AA152" s="5"/>
    </row>
    <row r="153" spans="15:27">
      <c r="O153" s="5"/>
      <c r="AA153" s="5"/>
    </row>
    <row r="154" spans="15:27">
      <c r="O154" s="5"/>
      <c r="AA154" s="5"/>
    </row>
    <row r="155" spans="15:27">
      <c r="O155" s="5"/>
      <c r="AA155" s="5"/>
    </row>
    <row r="156" spans="15:27">
      <c r="O156" s="5"/>
      <c r="AA156" s="5"/>
    </row>
    <row r="157" spans="15:27">
      <c r="O157" s="5"/>
      <c r="AA157" s="5"/>
    </row>
    <row r="158" spans="15:27">
      <c r="O158" s="5"/>
      <c r="AA158" s="5"/>
    </row>
    <row r="159" spans="15:27">
      <c r="O159" s="5"/>
      <c r="AA159" s="5"/>
    </row>
    <row r="160" spans="15:27">
      <c r="O160" s="5"/>
      <c r="AA160" s="5"/>
    </row>
    <row r="161" spans="15:27">
      <c r="O161" s="5"/>
      <c r="AA161" s="5"/>
    </row>
    <row r="162" spans="15:27">
      <c r="O162" s="5"/>
      <c r="AA162" s="5"/>
    </row>
    <row r="163" spans="15:27">
      <c r="O163" s="5"/>
      <c r="AA163" s="5"/>
    </row>
    <row r="164" spans="15:27">
      <c r="O164" s="5"/>
      <c r="AA164" s="5"/>
    </row>
    <row r="165" spans="15:27">
      <c r="O165" s="5"/>
      <c r="AA165" s="5"/>
    </row>
    <row r="166" spans="15:27">
      <c r="O166" s="5"/>
      <c r="AA166" s="5"/>
    </row>
    <row r="167" spans="15:27">
      <c r="O167" s="5"/>
      <c r="AA167" s="5"/>
    </row>
    <row r="168" spans="15:27">
      <c r="O168" s="5"/>
      <c r="AA168" s="5"/>
    </row>
    <row r="169" spans="15:27">
      <c r="O169" s="5"/>
      <c r="AA169" s="5"/>
    </row>
    <row r="170" spans="15:27">
      <c r="O170" s="5"/>
      <c r="AA170" s="5"/>
    </row>
    <row r="171" spans="15:27">
      <c r="O171" s="5"/>
      <c r="AA171" s="5"/>
    </row>
    <row r="172" spans="15:27">
      <c r="O172" s="5"/>
      <c r="AA172" s="5"/>
    </row>
    <row r="173" spans="15:27">
      <c r="O173" s="5"/>
      <c r="AA173" s="5"/>
    </row>
    <row r="174" spans="15:27">
      <c r="O174" s="5"/>
      <c r="AA174" s="5"/>
    </row>
    <row r="175" spans="15:27">
      <c r="O175" s="5"/>
      <c r="AA175" s="5"/>
    </row>
    <row r="176" spans="15:27">
      <c r="O176" s="5"/>
      <c r="AA176" s="5"/>
    </row>
    <row r="177" spans="15:27">
      <c r="O177" s="5"/>
      <c r="AA177" s="5"/>
    </row>
    <row r="178" spans="15:27">
      <c r="O178" s="5"/>
      <c r="AA178" s="5"/>
    </row>
    <row r="179" spans="15:27">
      <c r="O179" s="5"/>
      <c r="AA179" s="5"/>
    </row>
    <row r="180" spans="15:27">
      <c r="O180" s="5"/>
      <c r="AA180" s="5"/>
    </row>
    <row r="181" spans="15:27">
      <c r="O181" s="5"/>
      <c r="AA181" s="5"/>
    </row>
    <row r="182" spans="15:27">
      <c r="O182" s="5"/>
      <c r="AA182" s="5"/>
    </row>
    <row r="183" spans="15:27">
      <c r="O183" s="5"/>
      <c r="AA183" s="5"/>
    </row>
    <row r="184" spans="15:27">
      <c r="O184" s="5"/>
      <c r="AA184" s="5"/>
    </row>
    <row r="185" spans="15:27">
      <c r="O185" s="5"/>
      <c r="AA185" s="5"/>
    </row>
    <row r="186" spans="15:27">
      <c r="O186" s="5"/>
      <c r="AA186" s="5"/>
    </row>
  </sheetData>
  <mergeCells count="6">
    <mergeCell ref="T130:T143"/>
    <mergeCell ref="H1:I1"/>
    <mergeCell ref="A2:A58"/>
    <mergeCell ref="A104:A121"/>
    <mergeCell ref="T2:T81"/>
    <mergeCell ref="T104:T121"/>
  </mergeCells>
  <phoneticPr fontId="11" type="noConversion"/>
  <pageMargins left="0.69930555555555596" right="0.69930555555555596"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9"/>
  <sheetViews>
    <sheetView zoomScale="85" zoomScaleNormal="85" workbookViewId="0">
      <pane xSplit="9" ySplit="2" topLeftCell="P3" activePane="bottomRight" state="frozen"/>
      <selection pane="topRight"/>
      <selection pane="bottomLeft"/>
      <selection pane="bottomRight" activeCell="T5" sqref="T5"/>
    </sheetView>
  </sheetViews>
  <sheetFormatPr defaultColWidth="9.28515625" defaultRowHeight="12.75"/>
  <cols>
    <col min="1" max="1" width="9.28515625" style="3"/>
    <col min="2" max="2" width="5.7109375" style="3" customWidth="1"/>
    <col min="3" max="3" width="25.5703125" style="3" customWidth="1"/>
    <col min="4" max="4" width="18.5703125" style="3" customWidth="1"/>
    <col min="5" max="5" width="11.28515625" style="3" customWidth="1"/>
    <col min="6" max="6" width="9.28515625" style="3" customWidth="1"/>
    <col min="7" max="7" width="13.140625" style="4" customWidth="1"/>
    <col min="8" max="8" width="16.42578125" style="3" customWidth="1"/>
    <col min="9" max="9" width="6.42578125" style="3" customWidth="1"/>
    <col min="10" max="15" width="9.28515625" style="2" customWidth="1"/>
    <col min="16" max="17" width="9.28515625" style="3" customWidth="1"/>
    <col min="18" max="21" width="9.28515625" style="3"/>
    <col min="22" max="27" width="9.28515625" style="2" customWidth="1"/>
    <col min="28" max="29" width="9.28515625" style="3" customWidth="1"/>
    <col min="30" max="16384" width="9.28515625" style="3"/>
  </cols>
  <sheetData>
    <row r="1" spans="1:30" s="1" customFormat="1" ht="40.9" customHeight="1">
      <c r="A1" s="6" t="s">
        <v>403</v>
      </c>
      <c r="B1" s="1" t="s">
        <v>404</v>
      </c>
      <c r="C1" s="1" t="s">
        <v>405</v>
      </c>
      <c r="D1" s="1" t="s">
        <v>406</v>
      </c>
      <c r="E1" s="1" t="s">
        <v>57</v>
      </c>
      <c r="F1" s="1" t="s">
        <v>67</v>
      </c>
      <c r="G1" s="7" t="s">
        <v>491</v>
      </c>
      <c r="H1" s="245" t="s">
        <v>407</v>
      </c>
      <c r="I1" s="245"/>
      <c r="J1" s="23" t="s">
        <v>5</v>
      </c>
      <c r="K1" s="33" t="s">
        <v>12</v>
      </c>
      <c r="L1" s="15" t="s">
        <v>14</v>
      </c>
      <c r="M1" s="15" t="s">
        <v>16</v>
      </c>
      <c r="N1" s="15" t="s">
        <v>18</v>
      </c>
      <c r="O1" s="33" t="s">
        <v>20</v>
      </c>
      <c r="P1" s="1" t="s">
        <v>408</v>
      </c>
      <c r="Q1" s="1" t="s">
        <v>409</v>
      </c>
      <c r="R1" s="1" t="s">
        <v>410</v>
      </c>
      <c r="U1" s="6" t="s">
        <v>411</v>
      </c>
      <c r="V1" s="23" t="str">
        <f>J1</f>
        <v>Huawei</v>
      </c>
      <c r="W1" s="33" t="s">
        <v>12</v>
      </c>
      <c r="X1" s="23" t="str">
        <f>L1</f>
        <v>CAICT</v>
      </c>
      <c r="Y1" s="23" t="str">
        <f>M1</f>
        <v>OPPO</v>
      </c>
      <c r="Z1" s="24" t="s">
        <v>20</v>
      </c>
      <c r="AA1" s="23" t="s">
        <v>23</v>
      </c>
      <c r="AB1" s="1" t="s">
        <v>408</v>
      </c>
      <c r="AC1" s="1" t="s">
        <v>409</v>
      </c>
      <c r="AD1" s="1" t="s">
        <v>410</v>
      </c>
    </row>
    <row r="2" spans="1:30">
      <c r="A2" s="246" t="s">
        <v>412</v>
      </c>
      <c r="B2" s="9" t="s">
        <v>49</v>
      </c>
      <c r="C2" s="9"/>
      <c r="D2" s="9" t="s">
        <v>49</v>
      </c>
      <c r="E2" s="9"/>
      <c r="F2" s="9"/>
      <c r="G2" s="10"/>
      <c r="H2" s="9"/>
      <c r="I2" s="9"/>
      <c r="J2" s="16"/>
      <c r="K2" s="16"/>
      <c r="L2" s="16"/>
      <c r="M2" s="16"/>
      <c r="N2" s="16"/>
      <c r="O2" s="16"/>
      <c r="P2" s="26"/>
      <c r="Q2" s="13"/>
      <c r="R2" s="13"/>
      <c r="U2" s="246" t="s">
        <v>412</v>
      </c>
      <c r="V2" s="16"/>
      <c r="W2" s="16"/>
      <c r="X2" s="16"/>
      <c r="Y2" s="16"/>
      <c r="Z2" s="16"/>
      <c r="AA2" s="16"/>
      <c r="AB2" s="26"/>
      <c r="AC2" s="13"/>
      <c r="AD2" s="13"/>
    </row>
    <row r="3" spans="1:30" ht="25.5">
      <c r="A3" s="246"/>
      <c r="B3" s="3" t="s">
        <v>413</v>
      </c>
      <c r="C3" s="3" t="s">
        <v>441</v>
      </c>
      <c r="D3" s="3" t="s">
        <v>442</v>
      </c>
      <c r="E3" s="3" t="s">
        <v>416</v>
      </c>
      <c r="G3" s="4">
        <v>10</v>
      </c>
      <c r="H3" s="3" t="s">
        <v>417</v>
      </c>
      <c r="I3" s="17">
        <v>3.3</v>
      </c>
      <c r="J3" s="2">
        <v>13.6</v>
      </c>
      <c r="K3" s="2">
        <v>14.52</v>
      </c>
      <c r="L3" s="2">
        <v>11.3719</v>
      </c>
      <c r="M3" s="2">
        <v>13.18</v>
      </c>
      <c r="P3" s="5">
        <f t="shared" ref="P3:P8" si="0">AVERAGE(J3:O3)</f>
        <v>13.167975</v>
      </c>
      <c r="Q3" s="3">
        <f t="shared" ref="Q3:Q8" si="1">SQRT(VAR(J3:O3))</f>
        <v>1.3216967891691342</v>
      </c>
      <c r="R3" s="3">
        <f t="shared" ref="R3:R8" si="2">COUNT(J3:O3)</f>
        <v>4</v>
      </c>
      <c r="U3" s="246"/>
      <c r="V3" s="2">
        <v>13.532999999999999</v>
      </c>
      <c r="W3" s="2">
        <v>14.51</v>
      </c>
      <c r="Y3" s="2">
        <v>13.56</v>
      </c>
      <c r="AB3" s="5">
        <f t="shared" ref="AB3:AB8" si="3">AVERAGE(V3:AA3)</f>
        <v>13.867666666666667</v>
      </c>
      <c r="AC3" s="3">
        <f t="shared" ref="AC3:AC8" si="4">SQRT(VAR(V3:AA3))</f>
        <v>0.55644077252959567</v>
      </c>
      <c r="AD3" s="3">
        <f t="shared" ref="AD3:AD8" si="5">COUNT(V3:AA3)</f>
        <v>3</v>
      </c>
    </row>
    <row r="4" spans="1:30" ht="25.5">
      <c r="A4" s="246"/>
      <c r="G4" s="4">
        <v>20</v>
      </c>
      <c r="H4" s="3" t="s">
        <v>417</v>
      </c>
      <c r="I4" s="17">
        <v>3.3</v>
      </c>
      <c r="J4" s="2">
        <f>J3*DL_OH!$W$12</f>
        <v>15.375657804871873</v>
      </c>
      <c r="K4" s="2">
        <f>K3*DL_OH!$W$9</f>
        <v>16.409270635317664</v>
      </c>
      <c r="L4" s="2">
        <f>L3*DL_OH!$W$19</f>
        <v>12.791790921003363</v>
      </c>
      <c r="M4" s="2">
        <f>M3*DL_OH!$W$22</f>
        <v>14.781896530883589</v>
      </c>
      <c r="P4" s="5">
        <f t="shared" si="0"/>
        <v>14.839653973019121</v>
      </c>
      <c r="Q4" s="3">
        <f t="shared" si="1"/>
        <v>1.5218492672030506</v>
      </c>
      <c r="R4" s="3">
        <f t="shared" si="2"/>
        <v>4</v>
      </c>
      <c r="U4" s="246"/>
      <c r="V4" s="2">
        <f>V3*DL_OH!$W$12</f>
        <v>15.299910078921402</v>
      </c>
      <c r="W4" s="2">
        <f>W3*DL_OH!$W$9</f>
        <v>16.397969484742379</v>
      </c>
      <c r="Y4" s="2">
        <f>Y3*DL_OH!$W$22</f>
        <v>15.208081711591918</v>
      </c>
      <c r="AB4" s="5">
        <f t="shared" si="3"/>
        <v>15.635320425085233</v>
      </c>
      <c r="AC4" s="3">
        <f t="shared" si="4"/>
        <v>0.66206744626854064</v>
      </c>
      <c r="AD4" s="3">
        <f t="shared" si="5"/>
        <v>3</v>
      </c>
    </row>
    <row r="5" spans="1:30" ht="25.5">
      <c r="A5" s="246"/>
      <c r="G5" s="4">
        <v>40</v>
      </c>
      <c r="H5" s="3" t="s">
        <v>417</v>
      </c>
      <c r="I5" s="17">
        <v>3.3</v>
      </c>
      <c r="J5" s="2">
        <f>J3*DL_OH!$AA$12</f>
        <v>16.43620873700452</v>
      </c>
      <c r="K5" s="2">
        <f>K3*DL_OH!$AA$9</f>
        <v>17.538402201100556</v>
      </c>
      <c r="L5" s="2">
        <f>L3*DL_OH!$AA$19</f>
        <v>13.644364105204041</v>
      </c>
      <c r="M5" s="2">
        <f>M3*DL_OH!$AA$22</f>
        <v>15.746937628429826</v>
      </c>
      <c r="P5" s="5">
        <f t="shared" si="0"/>
        <v>15.841478167934735</v>
      </c>
      <c r="Q5" s="3">
        <f t="shared" si="1"/>
        <v>1.6400715169752695</v>
      </c>
      <c r="R5" s="3">
        <f t="shared" si="2"/>
        <v>4</v>
      </c>
      <c r="U5" s="246"/>
      <c r="V5" s="2">
        <f>V3*DL_OH!$AA$12</f>
        <v>16.355236238079573</v>
      </c>
      <c r="W5" s="2">
        <f>W3*DL_OH!$AA$9</f>
        <v>17.52632341170586</v>
      </c>
      <c r="Y5" s="2">
        <f>Y3*DL_OH!$AA$22</f>
        <v>16.200946452314753</v>
      </c>
      <c r="AB5" s="5">
        <f t="shared" si="3"/>
        <v>16.694168700700061</v>
      </c>
      <c r="AC5" s="3">
        <f t="shared" si="4"/>
        <v>0.72478440365718133</v>
      </c>
      <c r="AD5" s="3">
        <f t="shared" si="5"/>
        <v>3</v>
      </c>
    </row>
    <row r="6" spans="1:30" ht="25.5">
      <c r="A6" s="246"/>
      <c r="G6" s="4">
        <v>10</v>
      </c>
      <c r="H6" s="11" t="s">
        <v>418</v>
      </c>
      <c r="I6" s="11">
        <v>0.12</v>
      </c>
      <c r="J6" s="20">
        <v>0.35399999999999998</v>
      </c>
      <c r="K6" s="20">
        <v>0.49399999999999999</v>
      </c>
      <c r="L6" s="20">
        <v>0.34760000000000002</v>
      </c>
      <c r="M6" s="20">
        <v>0.48</v>
      </c>
      <c r="N6" s="20"/>
      <c r="O6" s="20"/>
      <c r="P6" s="27">
        <f t="shared" si="0"/>
        <v>0.41889999999999999</v>
      </c>
      <c r="Q6" s="11">
        <f t="shared" si="1"/>
        <v>7.8885824666624124E-2</v>
      </c>
      <c r="R6" s="11">
        <f t="shared" si="2"/>
        <v>4</v>
      </c>
      <c r="U6" s="246"/>
      <c r="V6" s="20">
        <v>0.34499999999999997</v>
      </c>
      <c r="W6" s="20">
        <v>0.499</v>
      </c>
      <c r="X6" s="20"/>
      <c r="Y6" s="20">
        <v>0.49</v>
      </c>
      <c r="Z6" s="20"/>
      <c r="AA6" s="20"/>
      <c r="AB6" s="27">
        <f t="shared" si="3"/>
        <v>0.44466666666666671</v>
      </c>
      <c r="AC6" s="11">
        <f t="shared" si="4"/>
        <v>8.6431090085300324E-2</v>
      </c>
      <c r="AD6" s="11">
        <f t="shared" si="5"/>
        <v>3</v>
      </c>
    </row>
    <row r="7" spans="1:30" ht="25.5">
      <c r="A7" s="246"/>
      <c r="G7" s="4">
        <v>20</v>
      </c>
      <c r="H7" s="11" t="s">
        <v>418</v>
      </c>
      <c r="I7" s="11">
        <v>0.12</v>
      </c>
      <c r="J7" s="20">
        <f>J6*DL_OH!$W$12</f>
        <v>0.40021932815622374</v>
      </c>
      <c r="K7" s="20">
        <f>K6*DL_OH!$W$9</f>
        <v>0.55827683841920983</v>
      </c>
      <c r="L7" s="20">
        <f>L6*DL_OH!$W$19</f>
        <v>0.39100119805316341</v>
      </c>
      <c r="M7" s="20">
        <f>M6*DL_OH!$W$22</f>
        <v>0.5383391756315723</v>
      </c>
      <c r="N7" s="20"/>
      <c r="O7" s="20"/>
      <c r="P7" s="27">
        <f t="shared" si="0"/>
        <v>0.47195913506504233</v>
      </c>
      <c r="Q7" s="11">
        <f t="shared" si="1"/>
        <v>8.8614978339793246E-2</v>
      </c>
      <c r="R7" s="11">
        <f t="shared" si="2"/>
        <v>4</v>
      </c>
      <c r="U7" s="246"/>
      <c r="V7" s="20">
        <f>V6*DL_OH!$W$12</f>
        <v>0.39004426049123497</v>
      </c>
      <c r="W7" s="20">
        <f>W6*DL_OH!$W$9</f>
        <v>0.56392741370685362</v>
      </c>
      <c r="X7" s="20"/>
      <c r="Y7" s="20">
        <f>Y6*DL_OH!$W$22</f>
        <v>0.54955457512389672</v>
      </c>
      <c r="Z7" s="20"/>
      <c r="AA7" s="20"/>
      <c r="AB7" s="27">
        <f t="shared" si="3"/>
        <v>0.50117541644066177</v>
      </c>
      <c r="AC7" s="11">
        <f t="shared" si="4"/>
        <v>9.6510336178177517E-2</v>
      </c>
      <c r="AD7" s="11">
        <f t="shared" si="5"/>
        <v>3</v>
      </c>
    </row>
    <row r="8" spans="1:30" ht="25.5">
      <c r="A8" s="246"/>
      <c r="G8" s="4">
        <v>40</v>
      </c>
      <c r="H8" s="11" t="s">
        <v>418</v>
      </c>
      <c r="I8" s="11">
        <v>0.12</v>
      </c>
      <c r="J8" s="20">
        <f>J6*DL_OH!$AA$12</f>
        <v>0.4278248450661471</v>
      </c>
      <c r="K8" s="20">
        <f>K6*DL_OH!$AA$9</f>
        <v>0.59669219609804924</v>
      </c>
      <c r="L8" s="20">
        <f>L6*DL_OH!$AA$19</f>
        <v>0.41706143766379628</v>
      </c>
      <c r="M8" s="20">
        <f>M6*DL_OH!$AA$22</f>
        <v>0.57348483017043372</v>
      </c>
      <c r="N8" s="20"/>
      <c r="O8" s="20"/>
      <c r="P8" s="27">
        <f t="shared" si="0"/>
        <v>0.50376582724960661</v>
      </c>
      <c r="Q8" s="11">
        <f t="shared" si="1"/>
        <v>9.4482332288577456E-2</v>
      </c>
      <c r="R8" s="11">
        <f t="shared" si="2"/>
        <v>4</v>
      </c>
      <c r="U8" s="246"/>
      <c r="V8" s="20">
        <f>V6*DL_OH!$AA$12</f>
        <v>0.41694794222548232</v>
      </c>
      <c r="W8" s="20">
        <f>W6*DL_OH!$AA$9</f>
        <v>0.60273159079539795</v>
      </c>
      <c r="X8" s="20"/>
      <c r="Y8" s="20">
        <f>Y6*DL_OH!$AA$22</f>
        <v>0.58543243079898444</v>
      </c>
      <c r="Z8" s="20"/>
      <c r="AA8" s="20"/>
      <c r="AB8" s="27">
        <f t="shared" si="3"/>
        <v>0.53503732127328829</v>
      </c>
      <c r="AC8" s="11">
        <f t="shared" si="4"/>
        <v>0.10263352920497099</v>
      </c>
      <c r="AD8" s="11">
        <f t="shared" si="5"/>
        <v>3</v>
      </c>
    </row>
    <row r="9" spans="1:30">
      <c r="A9" s="246"/>
      <c r="P9" s="5"/>
      <c r="U9" s="246"/>
      <c r="AB9" s="5"/>
    </row>
    <row r="10" spans="1:30" ht="25.5">
      <c r="A10" s="246"/>
      <c r="B10" s="3" t="s">
        <v>413</v>
      </c>
      <c r="C10" s="3" t="s">
        <v>443</v>
      </c>
      <c r="D10" s="29" t="s">
        <v>444</v>
      </c>
      <c r="E10" s="3" t="s">
        <v>416</v>
      </c>
      <c r="G10" s="4">
        <v>10</v>
      </c>
      <c r="H10" s="3" t="s">
        <v>417</v>
      </c>
      <c r="I10" s="17">
        <v>3.3</v>
      </c>
      <c r="K10" s="2">
        <v>16.64</v>
      </c>
      <c r="P10" s="5">
        <f t="shared" ref="P10:P15" si="6">AVERAGE(J10:O10)</f>
        <v>16.64</v>
      </c>
      <c r="Q10" s="3" t="e">
        <f t="shared" ref="Q10:Q15" si="7">SQRT(VAR(J10:O10))</f>
        <v>#DIV/0!</v>
      </c>
      <c r="R10" s="3">
        <f t="shared" ref="R10:R15" si="8">COUNT(J10:O10)</f>
        <v>1</v>
      </c>
      <c r="U10" s="246"/>
      <c r="W10" s="2">
        <v>16.63</v>
      </c>
      <c r="AB10" s="5">
        <f t="shared" ref="AB10:AB15" si="9">AVERAGE(V10:AA10)</f>
        <v>16.63</v>
      </c>
      <c r="AC10" s="3" t="e">
        <f t="shared" ref="AC10:AC15" si="10">SQRT(VAR(V10:AA10))</f>
        <v>#DIV/0!</v>
      </c>
      <c r="AD10" s="3">
        <f t="shared" ref="AD10:AD15" si="11">COUNT(V10:AA10)</f>
        <v>1</v>
      </c>
    </row>
    <row r="11" spans="1:30" ht="25.5">
      <c r="A11" s="246"/>
      <c r="D11" s="29"/>
      <c r="G11" s="4">
        <v>20</v>
      </c>
      <c r="H11" s="3" t="s">
        <v>417</v>
      </c>
      <c r="I11" s="17">
        <v>3.3</v>
      </c>
      <c r="K11" s="2">
        <f>K10*DL_OH!$W$9</f>
        <v>18.805114557278646</v>
      </c>
      <c r="P11" s="5">
        <f t="shared" si="6"/>
        <v>18.805114557278646</v>
      </c>
      <c r="Q11" s="3" t="e">
        <f t="shared" si="7"/>
        <v>#DIV/0!</v>
      </c>
      <c r="R11" s="3">
        <f t="shared" si="8"/>
        <v>1</v>
      </c>
      <c r="U11" s="246"/>
      <c r="W11" s="2">
        <f>W10*DL_OH!$W$9</f>
        <v>18.793813406703357</v>
      </c>
      <c r="AB11" s="5">
        <f t="shared" si="9"/>
        <v>18.793813406703357</v>
      </c>
      <c r="AC11" s="3" t="e">
        <f t="shared" si="10"/>
        <v>#DIV/0!</v>
      </c>
      <c r="AD11" s="3">
        <f t="shared" si="11"/>
        <v>1</v>
      </c>
    </row>
    <row r="12" spans="1:30" ht="25.5">
      <c r="A12" s="246"/>
      <c r="D12" s="29"/>
      <c r="G12" s="4">
        <v>40</v>
      </c>
      <c r="H12" s="3" t="s">
        <v>417</v>
      </c>
      <c r="I12" s="17">
        <v>3.3</v>
      </c>
      <c r="K12" s="2">
        <f>K10*DL_OH!$AA$9</f>
        <v>20.099105552776397</v>
      </c>
      <c r="P12" s="5">
        <f t="shared" si="6"/>
        <v>20.099105552776397</v>
      </c>
      <c r="Q12" s="3" t="e">
        <f t="shared" si="7"/>
        <v>#DIV/0!</v>
      </c>
      <c r="R12" s="3">
        <f t="shared" si="8"/>
        <v>1</v>
      </c>
      <c r="U12" s="246"/>
      <c r="W12" s="2">
        <f>W10*DL_OH!$AA$9</f>
        <v>20.087026763381697</v>
      </c>
      <c r="AB12" s="5">
        <f t="shared" si="9"/>
        <v>20.087026763381697</v>
      </c>
      <c r="AC12" s="3" t="e">
        <f t="shared" si="10"/>
        <v>#DIV/0!</v>
      </c>
      <c r="AD12" s="3">
        <f t="shared" si="11"/>
        <v>1</v>
      </c>
    </row>
    <row r="13" spans="1:30" ht="25.5">
      <c r="A13" s="246"/>
      <c r="G13" s="4">
        <v>10</v>
      </c>
      <c r="H13" s="11" t="s">
        <v>418</v>
      </c>
      <c r="I13" s="11">
        <v>0.12</v>
      </c>
      <c r="J13" s="20"/>
      <c r="K13" s="20">
        <v>0.50900000000000001</v>
      </c>
      <c r="L13" s="20"/>
      <c r="M13" s="20"/>
      <c r="N13" s="20"/>
      <c r="O13" s="20"/>
      <c r="P13" s="27">
        <f t="shared" si="6"/>
        <v>0.50900000000000001</v>
      </c>
      <c r="Q13" s="11" t="e">
        <f t="shared" si="7"/>
        <v>#DIV/0!</v>
      </c>
      <c r="R13" s="11">
        <f t="shared" si="8"/>
        <v>1</v>
      </c>
      <c r="U13" s="246"/>
      <c r="V13" s="20"/>
      <c r="W13" s="20">
        <v>0.51500000000000001</v>
      </c>
      <c r="X13" s="20"/>
      <c r="Y13" s="20"/>
      <c r="Z13" s="20"/>
      <c r="AA13" s="20"/>
      <c r="AB13" s="27">
        <f t="shared" si="9"/>
        <v>0.51500000000000001</v>
      </c>
      <c r="AC13" s="11" t="e">
        <f t="shared" si="10"/>
        <v>#DIV/0!</v>
      </c>
      <c r="AD13" s="11">
        <f t="shared" si="11"/>
        <v>1</v>
      </c>
    </row>
    <row r="14" spans="1:30" ht="25.5">
      <c r="A14" s="246"/>
      <c r="G14" s="4">
        <v>20</v>
      </c>
      <c r="H14" s="11" t="s">
        <v>418</v>
      </c>
      <c r="I14" s="11">
        <v>0.12</v>
      </c>
      <c r="J14" s="20"/>
      <c r="K14" s="20">
        <f>K13*DL_OH!$W$9</f>
        <v>0.57522856428214131</v>
      </c>
      <c r="L14" s="20"/>
      <c r="M14" s="20"/>
      <c r="N14" s="20"/>
      <c r="O14" s="20"/>
      <c r="P14" s="27">
        <f t="shared" si="6"/>
        <v>0.57522856428214131</v>
      </c>
      <c r="Q14" s="11" t="e">
        <f t="shared" si="7"/>
        <v>#DIV/0!</v>
      </c>
      <c r="R14" s="11">
        <f t="shared" si="8"/>
        <v>1</v>
      </c>
      <c r="U14" s="246"/>
      <c r="V14" s="20"/>
      <c r="W14" s="20">
        <f>W13*DL_OH!$W$9</f>
        <v>0.5820092546273139</v>
      </c>
      <c r="X14" s="20"/>
      <c r="Y14" s="20"/>
      <c r="Z14" s="20"/>
      <c r="AA14" s="20"/>
      <c r="AB14" s="27">
        <f t="shared" si="9"/>
        <v>0.5820092546273139</v>
      </c>
      <c r="AC14" s="11" t="e">
        <f t="shared" si="10"/>
        <v>#DIV/0!</v>
      </c>
      <c r="AD14" s="11">
        <f t="shared" si="11"/>
        <v>1</v>
      </c>
    </row>
    <row r="15" spans="1:30" ht="25.5">
      <c r="A15" s="246"/>
      <c r="G15" s="4">
        <v>40</v>
      </c>
      <c r="H15" s="11" t="s">
        <v>418</v>
      </c>
      <c r="I15" s="11">
        <v>0.12</v>
      </c>
      <c r="J15" s="20"/>
      <c r="K15" s="20">
        <f>K13*DL_OH!$AA$9</f>
        <v>0.61481038019009526</v>
      </c>
      <c r="L15" s="20"/>
      <c r="M15" s="20"/>
      <c r="N15" s="20"/>
      <c r="O15" s="20"/>
      <c r="P15" s="27">
        <f t="shared" si="6"/>
        <v>0.61481038019009526</v>
      </c>
      <c r="Q15" s="11" t="e">
        <f t="shared" si="7"/>
        <v>#DIV/0!</v>
      </c>
      <c r="R15" s="11">
        <f t="shared" si="8"/>
        <v>1</v>
      </c>
      <c r="U15" s="246"/>
      <c r="V15" s="20"/>
      <c r="W15" s="20">
        <f>W13*DL_OH!$AA$9</f>
        <v>0.62205765382691369</v>
      </c>
      <c r="X15" s="20"/>
      <c r="Y15" s="20"/>
      <c r="Z15" s="20"/>
      <c r="AA15" s="20"/>
      <c r="AB15" s="27">
        <f t="shared" si="9"/>
        <v>0.62205765382691369</v>
      </c>
      <c r="AC15" s="11" t="e">
        <f t="shared" si="10"/>
        <v>#DIV/0!</v>
      </c>
      <c r="AD15" s="11">
        <f t="shared" si="11"/>
        <v>1</v>
      </c>
    </row>
    <row r="16" spans="1:30">
      <c r="A16" s="246"/>
      <c r="P16" s="5"/>
      <c r="U16" s="246"/>
      <c r="AB16" s="5"/>
    </row>
    <row r="17" spans="1:30" ht="25.5">
      <c r="A17" s="246"/>
      <c r="B17" s="3" t="s">
        <v>413</v>
      </c>
      <c r="C17" s="3" t="s">
        <v>445</v>
      </c>
      <c r="D17" s="29" t="s">
        <v>446</v>
      </c>
      <c r="E17" s="3" t="s">
        <v>416</v>
      </c>
      <c r="G17" s="4">
        <v>10</v>
      </c>
      <c r="H17" s="3" t="s">
        <v>417</v>
      </c>
      <c r="I17" s="17">
        <v>3.3</v>
      </c>
      <c r="P17" s="5" t="e">
        <f t="shared" ref="P17:P22" si="12">AVERAGE(J17:O17)</f>
        <v>#DIV/0!</v>
      </c>
      <c r="Q17" s="3" t="e">
        <f t="shared" ref="Q17:Q22" si="13">SQRT(VAR(J17:O17))</f>
        <v>#DIV/0!</v>
      </c>
      <c r="R17" s="3">
        <f t="shared" ref="R17:R22" si="14">COUNT(J17:O17)</f>
        <v>0</v>
      </c>
      <c r="U17" s="246"/>
      <c r="AB17" s="5" t="e">
        <f t="shared" ref="AB17:AB22" si="15">AVERAGE(V17:AA17)</f>
        <v>#DIV/0!</v>
      </c>
      <c r="AC17" s="3" t="e">
        <f t="shared" ref="AC17:AC22" si="16">SQRT(VAR(V17:AA17))</f>
        <v>#DIV/0!</v>
      </c>
      <c r="AD17" s="3">
        <f t="shared" ref="AD17:AD22" si="17">COUNT(V17:AA17)</f>
        <v>0</v>
      </c>
    </row>
    <row r="18" spans="1:30" ht="25.5">
      <c r="A18" s="246"/>
      <c r="D18" s="29"/>
      <c r="G18" s="4">
        <v>20</v>
      </c>
      <c r="H18" s="3" t="s">
        <v>417</v>
      </c>
      <c r="I18" s="17">
        <v>3.3</v>
      </c>
      <c r="P18" s="5" t="e">
        <f t="shared" si="12"/>
        <v>#DIV/0!</v>
      </c>
      <c r="Q18" s="3" t="e">
        <f t="shared" si="13"/>
        <v>#DIV/0!</v>
      </c>
      <c r="R18" s="3">
        <f t="shared" si="14"/>
        <v>0</v>
      </c>
      <c r="U18" s="246"/>
      <c r="AB18" s="5" t="e">
        <f t="shared" si="15"/>
        <v>#DIV/0!</v>
      </c>
      <c r="AC18" s="3" t="e">
        <f t="shared" si="16"/>
        <v>#DIV/0!</v>
      </c>
      <c r="AD18" s="3">
        <f t="shared" si="17"/>
        <v>0</v>
      </c>
    </row>
    <row r="19" spans="1:30" ht="25.5">
      <c r="A19" s="246"/>
      <c r="D19" s="29"/>
      <c r="G19" s="4">
        <v>40</v>
      </c>
      <c r="H19" s="3" t="s">
        <v>417</v>
      </c>
      <c r="I19" s="17">
        <v>3.3</v>
      </c>
      <c r="P19" s="5" t="e">
        <f t="shared" si="12"/>
        <v>#DIV/0!</v>
      </c>
      <c r="Q19" s="3" t="e">
        <f t="shared" si="13"/>
        <v>#DIV/0!</v>
      </c>
      <c r="R19" s="3">
        <f t="shared" si="14"/>
        <v>0</v>
      </c>
      <c r="U19" s="246"/>
      <c r="AB19" s="5" t="e">
        <f t="shared" si="15"/>
        <v>#DIV/0!</v>
      </c>
      <c r="AC19" s="3" t="e">
        <f t="shared" si="16"/>
        <v>#DIV/0!</v>
      </c>
      <c r="AD19" s="3">
        <f t="shared" si="17"/>
        <v>0</v>
      </c>
    </row>
    <row r="20" spans="1:30" ht="25.5">
      <c r="A20" s="246"/>
      <c r="G20" s="4">
        <v>10</v>
      </c>
      <c r="H20" s="11" t="s">
        <v>418</v>
      </c>
      <c r="I20" s="11">
        <v>0.12</v>
      </c>
      <c r="J20" s="20"/>
      <c r="K20" s="20"/>
      <c r="L20" s="20"/>
      <c r="M20" s="20"/>
      <c r="N20" s="20"/>
      <c r="O20" s="20"/>
      <c r="P20" s="27" t="e">
        <f t="shared" si="12"/>
        <v>#DIV/0!</v>
      </c>
      <c r="Q20" s="11" t="e">
        <f t="shared" si="13"/>
        <v>#DIV/0!</v>
      </c>
      <c r="R20" s="11">
        <f t="shared" si="14"/>
        <v>0</v>
      </c>
      <c r="U20" s="246"/>
      <c r="V20" s="20"/>
      <c r="W20" s="20"/>
      <c r="X20" s="20"/>
      <c r="Y20" s="20"/>
      <c r="Z20" s="20"/>
      <c r="AA20" s="20"/>
      <c r="AB20" s="27" t="e">
        <f t="shared" si="15"/>
        <v>#DIV/0!</v>
      </c>
      <c r="AC20" s="11" t="e">
        <f t="shared" si="16"/>
        <v>#DIV/0!</v>
      </c>
      <c r="AD20" s="11">
        <f t="shared" si="17"/>
        <v>0</v>
      </c>
    </row>
    <row r="21" spans="1:30" ht="25.5">
      <c r="A21" s="246"/>
      <c r="G21" s="4">
        <v>20</v>
      </c>
      <c r="H21" s="11" t="s">
        <v>418</v>
      </c>
      <c r="I21" s="11">
        <v>0.12</v>
      </c>
      <c r="J21" s="20"/>
      <c r="K21" s="20"/>
      <c r="L21" s="20"/>
      <c r="M21" s="20"/>
      <c r="N21" s="20"/>
      <c r="O21" s="20"/>
      <c r="P21" s="27" t="e">
        <f t="shared" si="12"/>
        <v>#DIV/0!</v>
      </c>
      <c r="Q21" s="11" t="e">
        <f t="shared" si="13"/>
        <v>#DIV/0!</v>
      </c>
      <c r="R21" s="11">
        <f t="shared" si="14"/>
        <v>0</v>
      </c>
      <c r="U21" s="246"/>
      <c r="V21" s="20"/>
      <c r="W21" s="20"/>
      <c r="X21" s="20"/>
      <c r="Y21" s="20"/>
      <c r="Z21" s="20"/>
      <c r="AA21" s="20"/>
      <c r="AB21" s="27" t="e">
        <f t="shared" si="15"/>
        <v>#DIV/0!</v>
      </c>
      <c r="AC21" s="11" t="e">
        <f t="shared" si="16"/>
        <v>#DIV/0!</v>
      </c>
      <c r="AD21" s="11">
        <f t="shared" si="17"/>
        <v>0</v>
      </c>
    </row>
    <row r="22" spans="1:30" ht="25.5">
      <c r="A22" s="246"/>
      <c r="G22" s="4">
        <v>40</v>
      </c>
      <c r="H22" s="11" t="s">
        <v>418</v>
      </c>
      <c r="I22" s="11">
        <v>0.12</v>
      </c>
      <c r="J22" s="20"/>
      <c r="K22" s="20"/>
      <c r="L22" s="20"/>
      <c r="M22" s="20"/>
      <c r="N22" s="20"/>
      <c r="O22" s="20"/>
      <c r="P22" s="27" t="e">
        <f t="shared" si="12"/>
        <v>#DIV/0!</v>
      </c>
      <c r="Q22" s="11" t="e">
        <f t="shared" si="13"/>
        <v>#DIV/0!</v>
      </c>
      <c r="R22" s="11">
        <f t="shared" si="14"/>
        <v>0</v>
      </c>
      <c r="U22" s="246"/>
      <c r="V22" s="20"/>
      <c r="W22" s="20"/>
      <c r="X22" s="20"/>
      <c r="Y22" s="20"/>
      <c r="Z22" s="20"/>
      <c r="AA22" s="20"/>
      <c r="AB22" s="27" t="e">
        <f t="shared" si="15"/>
        <v>#DIV/0!</v>
      </c>
      <c r="AC22" s="11" t="e">
        <f t="shared" si="16"/>
        <v>#DIV/0!</v>
      </c>
      <c r="AD22" s="11">
        <f t="shared" si="17"/>
        <v>0</v>
      </c>
    </row>
    <row r="23" spans="1:30">
      <c r="A23" s="246"/>
      <c r="P23" s="5"/>
      <c r="U23" s="246"/>
      <c r="AB23" s="5"/>
    </row>
    <row r="24" spans="1:30">
      <c r="A24" s="246"/>
      <c r="P24" s="5" t="e">
        <f t="shared" ref="P24:P30" si="18">AVERAGE(J24:O24)</f>
        <v>#DIV/0!</v>
      </c>
      <c r="Q24" s="3" t="e">
        <f t="shared" ref="Q24:Q30" si="19">SQRT(VAR(J24:O24))</f>
        <v>#DIV/0!</v>
      </c>
      <c r="R24" s="3">
        <f t="shared" ref="R24:R30" si="20">COUNT(J24:O24)</f>
        <v>0</v>
      </c>
      <c r="U24" s="246"/>
      <c r="AB24" s="5"/>
    </row>
    <row r="25" spans="1:30" ht="25.5">
      <c r="A25" s="246"/>
      <c r="B25" s="3" t="s">
        <v>413</v>
      </c>
      <c r="C25" s="3" t="s">
        <v>445</v>
      </c>
      <c r="D25" s="3" t="s">
        <v>447</v>
      </c>
      <c r="E25" s="3" t="s">
        <v>416</v>
      </c>
      <c r="G25" s="4">
        <v>10</v>
      </c>
      <c r="H25" s="3" t="s">
        <v>417</v>
      </c>
      <c r="I25" s="17">
        <v>3.3</v>
      </c>
      <c r="P25" s="5" t="e">
        <f t="shared" si="18"/>
        <v>#DIV/0!</v>
      </c>
      <c r="Q25" s="3" t="e">
        <f t="shared" si="19"/>
        <v>#DIV/0!</v>
      </c>
      <c r="R25" s="3">
        <f t="shared" si="20"/>
        <v>0</v>
      </c>
      <c r="U25" s="246"/>
      <c r="AB25" s="5" t="e">
        <f t="shared" ref="AB25:AB30" si="21">AVERAGE(V25:AA25)</f>
        <v>#DIV/0!</v>
      </c>
      <c r="AC25" s="3" t="e">
        <f t="shared" ref="AC25:AC30" si="22">SQRT(VAR(V25:AA25))</f>
        <v>#DIV/0!</v>
      </c>
      <c r="AD25" s="3">
        <f t="shared" ref="AD25:AD30" si="23">COUNT(V25:AA25)</f>
        <v>0</v>
      </c>
    </row>
    <row r="26" spans="1:30" ht="25.5">
      <c r="A26" s="246"/>
      <c r="G26" s="4">
        <v>20</v>
      </c>
      <c r="H26" s="3" t="s">
        <v>417</v>
      </c>
      <c r="I26" s="17">
        <v>3.3</v>
      </c>
      <c r="P26" s="5" t="e">
        <f t="shared" si="18"/>
        <v>#DIV/0!</v>
      </c>
      <c r="Q26" s="3" t="e">
        <f t="shared" si="19"/>
        <v>#DIV/0!</v>
      </c>
      <c r="R26" s="3">
        <f t="shared" si="20"/>
        <v>0</v>
      </c>
      <c r="U26" s="246"/>
      <c r="AB26" s="5" t="e">
        <f t="shared" si="21"/>
        <v>#DIV/0!</v>
      </c>
      <c r="AC26" s="3" t="e">
        <f t="shared" si="22"/>
        <v>#DIV/0!</v>
      </c>
      <c r="AD26" s="3">
        <f t="shared" si="23"/>
        <v>0</v>
      </c>
    </row>
    <row r="27" spans="1:30" ht="25.5">
      <c r="A27" s="246"/>
      <c r="G27" s="4">
        <v>40</v>
      </c>
      <c r="H27" s="3" t="s">
        <v>417</v>
      </c>
      <c r="I27" s="17">
        <v>3.3</v>
      </c>
      <c r="P27" s="5" t="e">
        <f t="shared" si="18"/>
        <v>#DIV/0!</v>
      </c>
      <c r="Q27" s="3" t="e">
        <f t="shared" si="19"/>
        <v>#DIV/0!</v>
      </c>
      <c r="R27" s="3">
        <f t="shared" si="20"/>
        <v>0</v>
      </c>
      <c r="U27" s="246"/>
      <c r="AB27" s="5" t="e">
        <f t="shared" si="21"/>
        <v>#DIV/0!</v>
      </c>
      <c r="AC27" s="3" t="e">
        <f t="shared" si="22"/>
        <v>#DIV/0!</v>
      </c>
      <c r="AD27" s="3">
        <f t="shared" si="23"/>
        <v>0</v>
      </c>
    </row>
    <row r="28" spans="1:30" ht="25.5">
      <c r="A28" s="246"/>
      <c r="G28" s="4">
        <v>10</v>
      </c>
      <c r="H28" s="11" t="s">
        <v>418</v>
      </c>
      <c r="I28" s="11">
        <v>0.12</v>
      </c>
      <c r="J28" s="20"/>
      <c r="K28" s="20"/>
      <c r="L28" s="20"/>
      <c r="M28" s="20"/>
      <c r="N28" s="20"/>
      <c r="O28" s="20"/>
      <c r="P28" s="27" t="e">
        <f t="shared" si="18"/>
        <v>#DIV/0!</v>
      </c>
      <c r="Q28" s="11" t="e">
        <f t="shared" si="19"/>
        <v>#DIV/0!</v>
      </c>
      <c r="R28" s="11">
        <f t="shared" si="20"/>
        <v>0</v>
      </c>
      <c r="U28" s="246"/>
      <c r="V28" s="20"/>
      <c r="W28" s="20"/>
      <c r="X28" s="20"/>
      <c r="Y28" s="20"/>
      <c r="Z28" s="20"/>
      <c r="AA28" s="20"/>
      <c r="AB28" s="190" t="e">
        <f t="shared" si="21"/>
        <v>#DIV/0!</v>
      </c>
      <c r="AC28" s="191" t="e">
        <f t="shared" si="22"/>
        <v>#DIV/0!</v>
      </c>
      <c r="AD28" s="191">
        <f t="shared" si="23"/>
        <v>0</v>
      </c>
    </row>
    <row r="29" spans="1:30" ht="25.5">
      <c r="A29" s="246"/>
      <c r="G29" s="4">
        <v>20</v>
      </c>
      <c r="H29" s="11" t="s">
        <v>418</v>
      </c>
      <c r="I29" s="11">
        <v>0.12</v>
      </c>
      <c r="J29" s="20"/>
      <c r="K29" s="20"/>
      <c r="L29" s="20"/>
      <c r="M29" s="20"/>
      <c r="N29" s="20"/>
      <c r="O29" s="20"/>
      <c r="P29" s="27" t="e">
        <f t="shared" si="18"/>
        <v>#DIV/0!</v>
      </c>
      <c r="Q29" s="11" t="e">
        <f t="shared" si="19"/>
        <v>#DIV/0!</v>
      </c>
      <c r="R29" s="11">
        <f t="shared" si="20"/>
        <v>0</v>
      </c>
      <c r="U29" s="246"/>
      <c r="V29" s="20"/>
      <c r="W29" s="20"/>
      <c r="X29" s="20"/>
      <c r="Y29" s="20"/>
      <c r="Z29" s="20"/>
      <c r="AA29" s="20"/>
      <c r="AB29" s="190" t="e">
        <f t="shared" si="21"/>
        <v>#DIV/0!</v>
      </c>
      <c r="AC29" s="191" t="e">
        <f t="shared" si="22"/>
        <v>#DIV/0!</v>
      </c>
      <c r="AD29" s="191">
        <f t="shared" si="23"/>
        <v>0</v>
      </c>
    </row>
    <row r="30" spans="1:30" ht="25.5">
      <c r="A30" s="246"/>
      <c r="G30" s="4">
        <v>40</v>
      </c>
      <c r="H30" s="11" t="s">
        <v>418</v>
      </c>
      <c r="I30" s="11">
        <v>0.12</v>
      </c>
      <c r="J30" s="20"/>
      <c r="K30" s="20"/>
      <c r="L30" s="20"/>
      <c r="M30" s="20"/>
      <c r="N30" s="20"/>
      <c r="O30" s="20"/>
      <c r="P30" s="27" t="e">
        <f t="shared" si="18"/>
        <v>#DIV/0!</v>
      </c>
      <c r="Q30" s="11" t="e">
        <f t="shared" si="19"/>
        <v>#DIV/0!</v>
      </c>
      <c r="R30" s="11">
        <f t="shared" si="20"/>
        <v>0</v>
      </c>
      <c r="U30" s="246"/>
      <c r="V30" s="20"/>
      <c r="W30" s="20"/>
      <c r="X30" s="20"/>
      <c r="Y30" s="20"/>
      <c r="Z30" s="20"/>
      <c r="AA30" s="20"/>
      <c r="AB30" s="190" t="e">
        <f t="shared" si="21"/>
        <v>#DIV/0!</v>
      </c>
      <c r="AC30" s="191" t="e">
        <f t="shared" si="22"/>
        <v>#DIV/0!</v>
      </c>
      <c r="AD30" s="191">
        <f t="shared" si="23"/>
        <v>0</v>
      </c>
    </row>
    <row r="31" spans="1:30">
      <c r="A31" s="246"/>
      <c r="P31" s="5"/>
      <c r="U31" s="246"/>
      <c r="AB31" s="5"/>
    </row>
    <row r="32" spans="1:30" ht="25.5">
      <c r="A32" s="246"/>
      <c r="B32" s="3" t="s">
        <v>413</v>
      </c>
      <c r="C32" s="3" t="s">
        <v>445</v>
      </c>
      <c r="D32" s="3" t="s">
        <v>448</v>
      </c>
      <c r="E32" s="3" t="s">
        <v>416</v>
      </c>
      <c r="G32" s="4">
        <v>10</v>
      </c>
      <c r="H32" s="3" t="s">
        <v>417</v>
      </c>
      <c r="I32" s="17">
        <v>3.3</v>
      </c>
      <c r="P32" s="5" t="e">
        <f t="shared" ref="P32:P37" si="24">AVERAGE(J32:O32)</f>
        <v>#DIV/0!</v>
      </c>
      <c r="Q32" s="3" t="e">
        <f t="shared" ref="Q32:Q37" si="25">SQRT(VAR(J32:O32))</f>
        <v>#DIV/0!</v>
      </c>
      <c r="R32" s="3">
        <f t="shared" ref="R32:R37" si="26">COUNT(J32:O32)</f>
        <v>0</v>
      </c>
      <c r="U32" s="246"/>
      <c r="AB32" s="5" t="e">
        <f t="shared" ref="AB32:AB37" si="27">AVERAGE(V32:AA32)</f>
        <v>#DIV/0!</v>
      </c>
      <c r="AC32" s="3" t="e">
        <f t="shared" ref="AC32:AC37" si="28">SQRT(VAR(V32:AA32))</f>
        <v>#DIV/0!</v>
      </c>
      <c r="AD32" s="3">
        <f t="shared" ref="AD32:AD37" si="29">COUNT(V32:AA32)</f>
        <v>0</v>
      </c>
    </row>
    <row r="33" spans="1:30" ht="25.5">
      <c r="A33" s="246"/>
      <c r="G33" s="4">
        <v>20</v>
      </c>
      <c r="H33" s="3" t="s">
        <v>417</v>
      </c>
      <c r="I33" s="17">
        <v>3.3</v>
      </c>
      <c r="P33" s="5" t="e">
        <f t="shared" si="24"/>
        <v>#DIV/0!</v>
      </c>
      <c r="Q33" s="3" t="e">
        <f t="shared" si="25"/>
        <v>#DIV/0!</v>
      </c>
      <c r="R33" s="3">
        <f t="shared" si="26"/>
        <v>0</v>
      </c>
      <c r="U33" s="246"/>
      <c r="AB33" s="5" t="e">
        <f t="shared" si="27"/>
        <v>#DIV/0!</v>
      </c>
      <c r="AC33" s="3" t="e">
        <f t="shared" si="28"/>
        <v>#DIV/0!</v>
      </c>
      <c r="AD33" s="3">
        <f t="shared" si="29"/>
        <v>0</v>
      </c>
    </row>
    <row r="34" spans="1:30" ht="25.5">
      <c r="A34" s="246"/>
      <c r="G34" s="4">
        <v>40</v>
      </c>
      <c r="H34" s="3" t="s">
        <v>417</v>
      </c>
      <c r="I34" s="17">
        <v>3.3</v>
      </c>
      <c r="P34" s="5" t="e">
        <f t="shared" si="24"/>
        <v>#DIV/0!</v>
      </c>
      <c r="Q34" s="3" t="e">
        <f t="shared" si="25"/>
        <v>#DIV/0!</v>
      </c>
      <c r="R34" s="3">
        <f t="shared" si="26"/>
        <v>0</v>
      </c>
      <c r="U34" s="246"/>
      <c r="AB34" s="5" t="e">
        <f t="shared" si="27"/>
        <v>#DIV/0!</v>
      </c>
      <c r="AC34" s="3" t="e">
        <f t="shared" si="28"/>
        <v>#DIV/0!</v>
      </c>
      <c r="AD34" s="3">
        <f t="shared" si="29"/>
        <v>0</v>
      </c>
    </row>
    <row r="35" spans="1:30" ht="25.5">
      <c r="A35" s="246"/>
      <c r="G35" s="4">
        <v>10</v>
      </c>
      <c r="H35" s="11" t="s">
        <v>418</v>
      </c>
      <c r="I35" s="11">
        <v>0.12</v>
      </c>
      <c r="J35" s="20"/>
      <c r="K35" s="20"/>
      <c r="L35" s="20"/>
      <c r="M35" s="20"/>
      <c r="N35" s="20"/>
      <c r="O35" s="20"/>
      <c r="P35" s="27" t="e">
        <f t="shared" si="24"/>
        <v>#DIV/0!</v>
      </c>
      <c r="Q35" s="11" t="e">
        <f t="shared" si="25"/>
        <v>#DIV/0!</v>
      </c>
      <c r="R35" s="11">
        <f t="shared" si="26"/>
        <v>0</v>
      </c>
      <c r="U35" s="246"/>
      <c r="V35" s="20"/>
      <c r="W35" s="20"/>
      <c r="X35" s="20"/>
      <c r="Y35" s="20"/>
      <c r="Z35" s="20"/>
      <c r="AA35" s="20"/>
      <c r="AB35" s="27" t="e">
        <f t="shared" si="27"/>
        <v>#DIV/0!</v>
      </c>
      <c r="AC35" s="11" t="e">
        <f t="shared" si="28"/>
        <v>#DIV/0!</v>
      </c>
      <c r="AD35" s="11">
        <f t="shared" si="29"/>
        <v>0</v>
      </c>
    </row>
    <row r="36" spans="1:30" ht="25.5">
      <c r="A36" s="246"/>
      <c r="G36" s="4">
        <v>20</v>
      </c>
      <c r="H36" s="11" t="s">
        <v>418</v>
      </c>
      <c r="I36" s="11">
        <v>0.12</v>
      </c>
      <c r="J36" s="20"/>
      <c r="K36" s="20"/>
      <c r="L36" s="20"/>
      <c r="M36" s="20"/>
      <c r="N36" s="20"/>
      <c r="O36" s="20"/>
      <c r="P36" s="27" t="e">
        <f t="shared" si="24"/>
        <v>#DIV/0!</v>
      </c>
      <c r="Q36" s="11" t="e">
        <f t="shared" si="25"/>
        <v>#DIV/0!</v>
      </c>
      <c r="R36" s="11">
        <f t="shared" si="26"/>
        <v>0</v>
      </c>
      <c r="U36" s="246"/>
      <c r="V36" s="20"/>
      <c r="W36" s="20"/>
      <c r="X36" s="20"/>
      <c r="Y36" s="20"/>
      <c r="Z36" s="20"/>
      <c r="AA36" s="20"/>
      <c r="AB36" s="27" t="e">
        <f t="shared" si="27"/>
        <v>#DIV/0!</v>
      </c>
      <c r="AC36" s="11" t="e">
        <f t="shared" si="28"/>
        <v>#DIV/0!</v>
      </c>
      <c r="AD36" s="11">
        <f t="shared" si="29"/>
        <v>0</v>
      </c>
    </row>
    <row r="37" spans="1:30" ht="25.5">
      <c r="A37" s="246"/>
      <c r="G37" s="4">
        <v>40</v>
      </c>
      <c r="H37" s="11" t="s">
        <v>418</v>
      </c>
      <c r="I37" s="11">
        <v>0.12</v>
      </c>
      <c r="J37" s="20"/>
      <c r="K37" s="20"/>
      <c r="L37" s="20"/>
      <c r="M37" s="20"/>
      <c r="N37" s="20"/>
      <c r="O37" s="20"/>
      <c r="P37" s="27" t="e">
        <f t="shared" si="24"/>
        <v>#DIV/0!</v>
      </c>
      <c r="Q37" s="11" t="e">
        <f t="shared" si="25"/>
        <v>#DIV/0!</v>
      </c>
      <c r="R37" s="11">
        <f t="shared" si="26"/>
        <v>0</v>
      </c>
      <c r="U37" s="246"/>
      <c r="V37" s="20"/>
      <c r="W37" s="20"/>
      <c r="X37" s="20"/>
      <c r="Y37" s="20"/>
      <c r="Z37" s="20"/>
      <c r="AA37" s="20"/>
      <c r="AB37" s="27" t="e">
        <f t="shared" si="27"/>
        <v>#DIV/0!</v>
      </c>
      <c r="AC37" s="11" t="e">
        <f t="shared" si="28"/>
        <v>#DIV/0!</v>
      </c>
      <c r="AD37" s="11">
        <f t="shared" si="29"/>
        <v>0</v>
      </c>
    </row>
    <row r="38" spans="1:30">
      <c r="A38" s="246"/>
      <c r="P38" s="5"/>
      <c r="U38" s="246"/>
      <c r="AB38" s="5"/>
    </row>
    <row r="39" spans="1:30" ht="25.5">
      <c r="A39" s="246"/>
      <c r="B39" s="3" t="s">
        <v>413</v>
      </c>
      <c r="C39" s="3" t="s">
        <v>445</v>
      </c>
      <c r="D39" s="3" t="s">
        <v>449</v>
      </c>
      <c r="E39" s="3" t="s">
        <v>416</v>
      </c>
      <c r="G39" s="4">
        <v>10</v>
      </c>
      <c r="H39" s="3" t="s">
        <v>417</v>
      </c>
      <c r="I39" s="17">
        <v>3.3</v>
      </c>
      <c r="P39" s="5" t="e">
        <f t="shared" ref="P39:P44" si="30">AVERAGE(J39:O39)</f>
        <v>#DIV/0!</v>
      </c>
      <c r="Q39" s="3" t="e">
        <f t="shared" ref="Q39:Q44" si="31">SQRT(VAR(J39:O39))</f>
        <v>#DIV/0!</v>
      </c>
      <c r="R39" s="3">
        <f t="shared" ref="R39:R44" si="32">COUNT(J39:O39)</f>
        <v>0</v>
      </c>
      <c r="U39" s="246"/>
      <c r="AB39" s="5" t="e">
        <f t="shared" ref="AB39:AB44" si="33">AVERAGE(V39:AA39)</f>
        <v>#DIV/0!</v>
      </c>
      <c r="AC39" s="3" t="e">
        <f t="shared" ref="AC39:AC44" si="34">SQRT(VAR(V39:AA39))</f>
        <v>#DIV/0!</v>
      </c>
      <c r="AD39" s="3">
        <f t="shared" ref="AD39:AD44" si="35">COUNT(V39:AA39)</f>
        <v>0</v>
      </c>
    </row>
    <row r="40" spans="1:30" ht="25.5">
      <c r="A40" s="246"/>
      <c r="G40" s="4">
        <v>20</v>
      </c>
      <c r="H40" s="3" t="s">
        <v>417</v>
      </c>
      <c r="I40" s="17">
        <v>3.3</v>
      </c>
      <c r="P40" s="5" t="e">
        <f t="shared" si="30"/>
        <v>#DIV/0!</v>
      </c>
      <c r="Q40" s="3" t="e">
        <f t="shared" si="31"/>
        <v>#DIV/0!</v>
      </c>
      <c r="R40" s="3">
        <f t="shared" si="32"/>
        <v>0</v>
      </c>
      <c r="U40" s="246"/>
      <c r="AB40" s="5" t="e">
        <f t="shared" si="33"/>
        <v>#DIV/0!</v>
      </c>
      <c r="AC40" s="3" t="e">
        <f t="shared" si="34"/>
        <v>#DIV/0!</v>
      </c>
      <c r="AD40" s="3">
        <f t="shared" si="35"/>
        <v>0</v>
      </c>
    </row>
    <row r="41" spans="1:30" ht="25.5">
      <c r="A41" s="246"/>
      <c r="G41" s="4">
        <v>40</v>
      </c>
      <c r="H41" s="3" t="s">
        <v>417</v>
      </c>
      <c r="I41" s="17">
        <v>3.3</v>
      </c>
      <c r="P41" s="5" t="e">
        <f t="shared" si="30"/>
        <v>#DIV/0!</v>
      </c>
      <c r="Q41" s="3" t="e">
        <f t="shared" si="31"/>
        <v>#DIV/0!</v>
      </c>
      <c r="R41" s="3">
        <f t="shared" si="32"/>
        <v>0</v>
      </c>
      <c r="U41" s="246"/>
      <c r="AB41" s="5" t="e">
        <f t="shared" si="33"/>
        <v>#DIV/0!</v>
      </c>
      <c r="AC41" s="3" t="e">
        <f t="shared" si="34"/>
        <v>#DIV/0!</v>
      </c>
      <c r="AD41" s="3">
        <f t="shared" si="35"/>
        <v>0</v>
      </c>
    </row>
    <row r="42" spans="1:30" ht="25.5">
      <c r="A42" s="246"/>
      <c r="G42" s="4">
        <v>10</v>
      </c>
      <c r="H42" s="11" t="s">
        <v>418</v>
      </c>
      <c r="I42" s="11">
        <v>0.12</v>
      </c>
      <c r="J42" s="20"/>
      <c r="K42" s="20"/>
      <c r="L42" s="20"/>
      <c r="M42" s="20"/>
      <c r="N42" s="20"/>
      <c r="O42" s="20"/>
      <c r="P42" s="27" t="e">
        <f t="shared" si="30"/>
        <v>#DIV/0!</v>
      </c>
      <c r="Q42" s="11" t="e">
        <f t="shared" si="31"/>
        <v>#DIV/0!</v>
      </c>
      <c r="R42" s="11">
        <f t="shared" si="32"/>
        <v>0</v>
      </c>
      <c r="U42" s="246"/>
      <c r="V42" s="20"/>
      <c r="W42" s="20"/>
      <c r="X42" s="20"/>
      <c r="Y42" s="20"/>
      <c r="Z42" s="20"/>
      <c r="AA42" s="20"/>
      <c r="AB42" s="27" t="e">
        <f t="shared" si="33"/>
        <v>#DIV/0!</v>
      </c>
      <c r="AC42" s="11" t="e">
        <f t="shared" si="34"/>
        <v>#DIV/0!</v>
      </c>
      <c r="AD42" s="11">
        <f t="shared" si="35"/>
        <v>0</v>
      </c>
    </row>
    <row r="43" spans="1:30" ht="25.5">
      <c r="A43" s="246"/>
      <c r="G43" s="4">
        <v>20</v>
      </c>
      <c r="H43" s="11" t="s">
        <v>418</v>
      </c>
      <c r="I43" s="11">
        <v>0.12</v>
      </c>
      <c r="J43" s="20"/>
      <c r="K43" s="20"/>
      <c r="L43" s="20"/>
      <c r="M43" s="20"/>
      <c r="N43" s="20"/>
      <c r="O43" s="20"/>
      <c r="P43" s="27" t="e">
        <f t="shared" si="30"/>
        <v>#DIV/0!</v>
      </c>
      <c r="Q43" s="11" t="e">
        <f t="shared" si="31"/>
        <v>#DIV/0!</v>
      </c>
      <c r="R43" s="11">
        <f t="shared" si="32"/>
        <v>0</v>
      </c>
      <c r="U43" s="246"/>
      <c r="V43" s="20"/>
      <c r="W43" s="20"/>
      <c r="X43" s="20"/>
      <c r="Y43" s="20"/>
      <c r="Z43" s="20"/>
      <c r="AA43" s="20"/>
      <c r="AB43" s="27" t="e">
        <f t="shared" si="33"/>
        <v>#DIV/0!</v>
      </c>
      <c r="AC43" s="11" t="e">
        <f t="shared" si="34"/>
        <v>#DIV/0!</v>
      </c>
      <c r="AD43" s="11">
        <f t="shared" si="35"/>
        <v>0</v>
      </c>
    </row>
    <row r="44" spans="1:30" ht="25.5">
      <c r="A44" s="246"/>
      <c r="G44" s="4">
        <v>40</v>
      </c>
      <c r="H44" s="11" t="s">
        <v>418</v>
      </c>
      <c r="I44" s="11">
        <v>0.12</v>
      </c>
      <c r="J44" s="20"/>
      <c r="K44" s="20"/>
      <c r="L44" s="20"/>
      <c r="M44" s="20"/>
      <c r="N44" s="20"/>
      <c r="O44" s="20"/>
      <c r="P44" s="27" t="e">
        <f t="shared" si="30"/>
        <v>#DIV/0!</v>
      </c>
      <c r="Q44" s="11" t="e">
        <f t="shared" si="31"/>
        <v>#DIV/0!</v>
      </c>
      <c r="R44" s="11">
        <f t="shared" si="32"/>
        <v>0</v>
      </c>
      <c r="U44" s="246"/>
      <c r="V44" s="20"/>
      <c r="W44" s="20"/>
      <c r="X44" s="20"/>
      <c r="Y44" s="20"/>
      <c r="Z44" s="20"/>
      <c r="AA44" s="20"/>
      <c r="AB44" s="27" t="e">
        <f t="shared" si="33"/>
        <v>#DIV/0!</v>
      </c>
      <c r="AC44" s="11" t="e">
        <f t="shared" si="34"/>
        <v>#DIV/0!</v>
      </c>
      <c r="AD44" s="11">
        <f t="shared" si="35"/>
        <v>0</v>
      </c>
    </row>
    <row r="45" spans="1:30">
      <c r="A45" s="246"/>
      <c r="P45" s="5"/>
      <c r="U45" s="246"/>
      <c r="AB45" s="5"/>
    </row>
    <row r="46" spans="1:30" ht="25.5">
      <c r="A46" s="246"/>
      <c r="B46" s="3" t="s">
        <v>413</v>
      </c>
      <c r="C46" s="3" t="s">
        <v>443</v>
      </c>
      <c r="D46" s="3" t="s">
        <v>450</v>
      </c>
      <c r="E46" s="3" t="s">
        <v>416</v>
      </c>
      <c r="G46" s="4">
        <v>10</v>
      </c>
      <c r="H46" s="3" t="s">
        <v>417</v>
      </c>
      <c r="I46" s="17">
        <v>3.3</v>
      </c>
      <c r="P46" s="5" t="e">
        <f t="shared" ref="P46:P51" si="36">AVERAGE(J46:O46)</f>
        <v>#DIV/0!</v>
      </c>
      <c r="Q46" s="3" t="e">
        <f t="shared" ref="Q46:Q51" si="37">SQRT(VAR(J46:O46))</f>
        <v>#DIV/0!</v>
      </c>
      <c r="R46" s="3">
        <f t="shared" ref="R46:R51" si="38">COUNT(J46:O46)</f>
        <v>0</v>
      </c>
      <c r="U46" s="246"/>
      <c r="AB46" s="5" t="e">
        <f t="shared" ref="AB46:AB51" si="39">AVERAGE(V46:AA46)</f>
        <v>#DIV/0!</v>
      </c>
      <c r="AC46" s="3" t="e">
        <f t="shared" ref="AC46:AC51" si="40">SQRT(VAR(V46:AA46))</f>
        <v>#DIV/0!</v>
      </c>
      <c r="AD46" s="3">
        <f t="shared" ref="AD46:AD51" si="41">COUNT(V46:AA46)</f>
        <v>0</v>
      </c>
    </row>
    <row r="47" spans="1:30" ht="25.5">
      <c r="A47" s="246"/>
      <c r="G47" s="4">
        <v>20</v>
      </c>
      <c r="H47" s="3" t="s">
        <v>417</v>
      </c>
      <c r="I47" s="17">
        <v>3.3</v>
      </c>
      <c r="P47" s="5" t="e">
        <f t="shared" si="36"/>
        <v>#DIV/0!</v>
      </c>
      <c r="Q47" s="3" t="e">
        <f t="shared" si="37"/>
        <v>#DIV/0!</v>
      </c>
      <c r="R47" s="3">
        <f t="shared" si="38"/>
        <v>0</v>
      </c>
      <c r="U47" s="246"/>
      <c r="AB47" s="5" t="e">
        <f t="shared" si="39"/>
        <v>#DIV/0!</v>
      </c>
      <c r="AC47" s="3" t="e">
        <f t="shared" si="40"/>
        <v>#DIV/0!</v>
      </c>
      <c r="AD47" s="3">
        <f t="shared" si="41"/>
        <v>0</v>
      </c>
    </row>
    <row r="48" spans="1:30" ht="25.5">
      <c r="A48" s="246"/>
      <c r="G48" s="4">
        <v>40</v>
      </c>
      <c r="H48" s="3" t="s">
        <v>417</v>
      </c>
      <c r="I48" s="17">
        <v>3.3</v>
      </c>
      <c r="P48" s="5" t="e">
        <f t="shared" si="36"/>
        <v>#DIV/0!</v>
      </c>
      <c r="Q48" s="3" t="e">
        <f t="shared" si="37"/>
        <v>#DIV/0!</v>
      </c>
      <c r="R48" s="3">
        <f t="shared" si="38"/>
        <v>0</v>
      </c>
      <c r="U48" s="246"/>
      <c r="AB48" s="5" t="e">
        <f t="shared" si="39"/>
        <v>#DIV/0!</v>
      </c>
      <c r="AC48" s="3" t="e">
        <f t="shared" si="40"/>
        <v>#DIV/0!</v>
      </c>
      <c r="AD48" s="3">
        <f t="shared" si="41"/>
        <v>0</v>
      </c>
    </row>
    <row r="49" spans="1:30" ht="25.5">
      <c r="A49" s="246"/>
      <c r="G49" s="4">
        <v>10</v>
      </c>
      <c r="H49" s="11" t="s">
        <v>418</v>
      </c>
      <c r="I49" s="11">
        <v>0.12</v>
      </c>
      <c r="J49" s="20"/>
      <c r="K49" s="20"/>
      <c r="L49" s="20"/>
      <c r="M49" s="20"/>
      <c r="N49" s="20"/>
      <c r="O49" s="20"/>
      <c r="P49" s="27" t="e">
        <f t="shared" si="36"/>
        <v>#DIV/0!</v>
      </c>
      <c r="Q49" s="11" t="e">
        <f t="shared" si="37"/>
        <v>#DIV/0!</v>
      </c>
      <c r="R49" s="11">
        <f t="shared" si="38"/>
        <v>0</v>
      </c>
      <c r="U49" s="246"/>
      <c r="V49" s="20"/>
      <c r="W49" s="20"/>
      <c r="X49" s="20"/>
      <c r="Y49" s="20"/>
      <c r="Z49" s="20"/>
      <c r="AA49" s="20"/>
      <c r="AB49" s="27" t="e">
        <f t="shared" si="39"/>
        <v>#DIV/0!</v>
      </c>
      <c r="AC49" s="11" t="e">
        <f t="shared" si="40"/>
        <v>#DIV/0!</v>
      </c>
      <c r="AD49" s="11">
        <f t="shared" si="41"/>
        <v>0</v>
      </c>
    </row>
    <row r="50" spans="1:30" ht="25.5">
      <c r="A50" s="246"/>
      <c r="G50" s="4">
        <v>20</v>
      </c>
      <c r="H50" s="11" t="s">
        <v>418</v>
      </c>
      <c r="I50" s="11">
        <v>0.12</v>
      </c>
      <c r="J50" s="20"/>
      <c r="K50" s="20"/>
      <c r="L50" s="20"/>
      <c r="M50" s="20"/>
      <c r="N50" s="20"/>
      <c r="O50" s="20"/>
      <c r="P50" s="27" t="e">
        <f t="shared" si="36"/>
        <v>#DIV/0!</v>
      </c>
      <c r="Q50" s="11" t="e">
        <f t="shared" si="37"/>
        <v>#DIV/0!</v>
      </c>
      <c r="R50" s="11">
        <f t="shared" si="38"/>
        <v>0</v>
      </c>
      <c r="U50" s="246"/>
      <c r="V50" s="20"/>
      <c r="W50" s="20"/>
      <c r="X50" s="20"/>
      <c r="Y50" s="20"/>
      <c r="Z50" s="20"/>
      <c r="AA50" s="20"/>
      <c r="AB50" s="27" t="e">
        <f t="shared" si="39"/>
        <v>#DIV/0!</v>
      </c>
      <c r="AC50" s="11" t="e">
        <f t="shared" si="40"/>
        <v>#DIV/0!</v>
      </c>
      <c r="AD50" s="11">
        <f t="shared" si="41"/>
        <v>0</v>
      </c>
    </row>
    <row r="51" spans="1:30" ht="25.5">
      <c r="A51" s="246"/>
      <c r="G51" s="4">
        <v>40</v>
      </c>
      <c r="H51" s="11" t="s">
        <v>418</v>
      </c>
      <c r="I51" s="11">
        <v>0.12</v>
      </c>
      <c r="J51" s="20"/>
      <c r="K51" s="20"/>
      <c r="L51" s="20"/>
      <c r="M51" s="20"/>
      <c r="N51" s="20"/>
      <c r="O51" s="20"/>
      <c r="P51" s="27" t="e">
        <f t="shared" si="36"/>
        <v>#DIV/0!</v>
      </c>
      <c r="Q51" s="11" t="e">
        <f t="shared" si="37"/>
        <v>#DIV/0!</v>
      </c>
      <c r="R51" s="11">
        <f t="shared" si="38"/>
        <v>0</v>
      </c>
      <c r="U51" s="246"/>
      <c r="V51" s="20"/>
      <c r="W51" s="20"/>
      <c r="X51" s="20"/>
      <c r="Y51" s="20"/>
      <c r="Z51" s="20"/>
      <c r="AA51" s="20"/>
      <c r="AB51" s="27" t="e">
        <f t="shared" si="39"/>
        <v>#DIV/0!</v>
      </c>
      <c r="AC51" s="11" t="e">
        <f t="shared" si="40"/>
        <v>#DIV/0!</v>
      </c>
      <c r="AD51" s="11">
        <f t="shared" si="41"/>
        <v>0</v>
      </c>
    </row>
    <row r="52" spans="1:30">
      <c r="A52" s="246"/>
      <c r="P52" s="5"/>
      <c r="U52" s="246"/>
      <c r="AB52" s="5"/>
    </row>
    <row r="53" spans="1:30">
      <c r="A53" s="246"/>
      <c r="P53" s="5"/>
      <c r="U53" s="246"/>
      <c r="AB53" s="5"/>
    </row>
    <row r="54" spans="1:30">
      <c r="A54" s="246"/>
      <c r="B54" s="9" t="s">
        <v>50</v>
      </c>
      <c r="C54" s="9"/>
      <c r="D54" s="9" t="s">
        <v>50</v>
      </c>
      <c r="E54" s="9"/>
      <c r="F54" s="9"/>
      <c r="G54" s="10"/>
      <c r="H54" s="13"/>
      <c r="I54" s="13"/>
      <c r="J54" s="16"/>
      <c r="K54" s="16"/>
      <c r="L54" s="16"/>
      <c r="M54" s="16"/>
      <c r="N54" s="16"/>
      <c r="O54" s="16"/>
      <c r="P54" s="26"/>
      <c r="Q54" s="13"/>
      <c r="R54" s="13"/>
      <c r="U54" s="246"/>
      <c r="V54" s="16"/>
      <c r="W54" s="16"/>
      <c r="X54" s="16"/>
      <c r="Y54" s="16"/>
      <c r="Z54" s="16"/>
      <c r="AA54" s="16"/>
      <c r="AB54" s="26"/>
      <c r="AC54" s="13"/>
      <c r="AD54" s="13"/>
    </row>
    <row r="55" spans="1:30" ht="31.5" customHeight="1">
      <c r="A55" s="246"/>
      <c r="B55" s="3" t="s">
        <v>413</v>
      </c>
      <c r="C55" s="3" t="s">
        <v>441</v>
      </c>
      <c r="D55" s="3" t="s">
        <v>451</v>
      </c>
      <c r="E55" s="3" t="s">
        <v>429</v>
      </c>
      <c r="F55" s="3" t="s">
        <v>69</v>
      </c>
      <c r="G55" s="4">
        <v>20</v>
      </c>
      <c r="H55" s="3" t="s">
        <v>417</v>
      </c>
      <c r="I55" s="17">
        <v>3.3</v>
      </c>
      <c r="J55" s="2">
        <f>DL_OH!S56*15.061</f>
        <v>15.345169811320755</v>
      </c>
      <c r="L55" s="2">
        <f>DL_OH!S66*15.2035</f>
        <v>15.345588785046731</v>
      </c>
      <c r="P55" s="5">
        <f t="shared" ref="P55:P60" si="42">AVERAGE(J55:O55)</f>
        <v>15.345379298183744</v>
      </c>
      <c r="Q55" s="3">
        <f t="shared" ref="Q55:Q60" si="43">SQRT(VAR(J55:O55))</f>
        <v>2.9625916277669587E-4</v>
      </c>
      <c r="R55" s="3">
        <f t="shared" ref="R55:R60" si="44">COUNT(J55:O55)</f>
        <v>2</v>
      </c>
      <c r="U55" s="246"/>
      <c r="V55" s="2">
        <f>DL_OH!S56*14.946</f>
        <v>15.228</v>
      </c>
      <c r="AB55" s="5">
        <f t="shared" ref="AB55:AB60" si="45">AVERAGE(V55:AA55)</f>
        <v>15.228</v>
      </c>
      <c r="AC55" s="3" t="e">
        <f t="shared" ref="AC55:AC60" si="46">SQRT(VAR(V55:AA55))</f>
        <v>#DIV/0!</v>
      </c>
      <c r="AD55" s="3">
        <f t="shared" ref="AD55:AD60" si="47">COUNT(V55:AA55)</f>
        <v>1</v>
      </c>
    </row>
    <row r="56" spans="1:30" ht="31.5" customHeight="1">
      <c r="A56" s="246"/>
      <c r="G56" s="4">
        <v>40</v>
      </c>
      <c r="H56" s="3" t="s">
        <v>417</v>
      </c>
      <c r="I56" s="17">
        <v>3.3</v>
      </c>
      <c r="J56" s="2">
        <f>J55*DL_OH!$W$56</f>
        <v>17.908875077863211</v>
      </c>
      <c r="L56" s="2">
        <f>L55*DL_OH!$W$66</f>
        <v>17.742627811984971</v>
      </c>
      <c r="P56" s="5">
        <f t="shared" si="42"/>
        <v>17.825751444924091</v>
      </c>
      <c r="Q56" s="3">
        <f t="shared" si="43"/>
        <v>0.11755456905622684</v>
      </c>
      <c r="R56" s="3">
        <f t="shared" si="44"/>
        <v>2</v>
      </c>
      <c r="U56" s="246"/>
      <c r="V56" s="2">
        <f>V55*DL_OH!$W$56</f>
        <v>17.772129799730667</v>
      </c>
      <c r="AB56" s="5">
        <f t="shared" si="45"/>
        <v>17.772129799730667</v>
      </c>
      <c r="AC56" s="3" t="e">
        <f t="shared" si="46"/>
        <v>#DIV/0!</v>
      </c>
      <c r="AD56" s="3">
        <f t="shared" si="47"/>
        <v>1</v>
      </c>
    </row>
    <row r="57" spans="1:30" ht="31.5" customHeight="1">
      <c r="A57" s="246"/>
      <c r="G57" s="4">
        <v>100</v>
      </c>
      <c r="H57" s="3" t="s">
        <v>417</v>
      </c>
      <c r="I57" s="17">
        <v>3.3</v>
      </c>
      <c r="J57" s="2">
        <f>J55*DL_OH!$AA$56</f>
        <v>19.653883561739672</v>
      </c>
      <c r="L57" s="2">
        <f>L55*DL_OH!$AA$66</f>
        <v>19.380296798565674</v>
      </c>
      <c r="P57" s="5">
        <f t="shared" si="42"/>
        <v>19.517090180152671</v>
      </c>
      <c r="Q57" s="3">
        <f t="shared" si="43"/>
        <v>0.19345505548321237</v>
      </c>
      <c r="R57" s="3">
        <f t="shared" si="44"/>
        <v>2</v>
      </c>
      <c r="U57" s="246"/>
      <c r="V57" s="2">
        <f>V55*DL_OH!$AA$56</f>
        <v>19.503814070364594</v>
      </c>
      <c r="AB57" s="5">
        <f t="shared" si="45"/>
        <v>19.503814070364594</v>
      </c>
      <c r="AC57" s="3" t="e">
        <f t="shared" si="46"/>
        <v>#DIV/0!</v>
      </c>
      <c r="AD57" s="3">
        <f t="shared" si="47"/>
        <v>1</v>
      </c>
    </row>
    <row r="58" spans="1:30" ht="25.5">
      <c r="A58" s="246"/>
      <c r="G58" s="4">
        <v>20</v>
      </c>
      <c r="H58" s="11" t="s">
        <v>418</v>
      </c>
      <c r="I58" s="11">
        <v>0.12</v>
      </c>
      <c r="J58" s="20">
        <f>DL_OH!S56*0.374</f>
        <v>0.38105660377358491</v>
      </c>
      <c r="K58" s="20"/>
      <c r="L58" s="20">
        <f>DL_OH!S66*0.3624</f>
        <v>0.36578691588785051</v>
      </c>
      <c r="M58" s="20"/>
      <c r="N58" s="20"/>
      <c r="O58" s="20"/>
      <c r="P58" s="27">
        <f t="shared" si="42"/>
        <v>0.37342175983071768</v>
      </c>
      <c r="Q58" s="11">
        <f t="shared" si="43"/>
        <v>1.0797299850604875E-2</v>
      </c>
      <c r="R58" s="11">
        <f t="shared" si="44"/>
        <v>2</v>
      </c>
      <c r="U58" s="246"/>
      <c r="V58" s="20">
        <f>DL_OH!S56*0.37</f>
        <v>0.37698113207547168</v>
      </c>
      <c r="W58" s="20"/>
      <c r="X58" s="20"/>
      <c r="Y58" s="20"/>
      <c r="Z58" s="20"/>
      <c r="AA58" s="20"/>
      <c r="AB58" s="27">
        <f t="shared" si="45"/>
        <v>0.37698113207547168</v>
      </c>
      <c r="AC58" s="11" t="e">
        <f t="shared" si="46"/>
        <v>#DIV/0!</v>
      </c>
      <c r="AD58" s="11">
        <f t="shared" si="47"/>
        <v>1</v>
      </c>
    </row>
    <row r="59" spans="1:30" ht="25.5">
      <c r="A59" s="8"/>
      <c r="G59" s="4">
        <v>40</v>
      </c>
      <c r="H59" s="11" t="s">
        <v>418</v>
      </c>
      <c r="I59" s="11">
        <v>0.12</v>
      </c>
      <c r="J59" s="20">
        <f>J58*DL_OH!$W$56</f>
        <v>0.44471942627453964</v>
      </c>
      <c r="K59" s="20"/>
      <c r="L59" s="20">
        <f>L58*DL_OH!$W$66</f>
        <v>0.42292421607283542</v>
      </c>
      <c r="M59" s="20"/>
      <c r="N59" s="20"/>
      <c r="O59" s="20"/>
      <c r="P59" s="27">
        <f t="shared" si="42"/>
        <v>0.43382182117368751</v>
      </c>
      <c r="Q59" s="11">
        <f t="shared" si="43"/>
        <v>1.5411540931011273E-2</v>
      </c>
      <c r="R59" s="11">
        <f t="shared" si="44"/>
        <v>2</v>
      </c>
      <c r="U59" s="8"/>
      <c r="V59" s="20">
        <f>V58*DL_OH!$W$56</f>
        <v>0.43996306877427716</v>
      </c>
      <c r="W59" s="20"/>
      <c r="X59" s="20"/>
      <c r="Y59" s="20"/>
      <c r="Z59" s="20"/>
      <c r="AA59" s="20"/>
      <c r="AB59" s="27">
        <f t="shared" si="45"/>
        <v>0.43996306877427716</v>
      </c>
      <c r="AC59" s="11" t="e">
        <f t="shared" si="46"/>
        <v>#DIV/0!</v>
      </c>
      <c r="AD59" s="11">
        <f t="shared" si="47"/>
        <v>1</v>
      </c>
    </row>
    <row r="60" spans="1:30" ht="25.5">
      <c r="A60" s="8"/>
      <c r="G60" s="4">
        <v>100</v>
      </c>
      <c r="H60" s="11" t="s">
        <v>418</v>
      </c>
      <c r="I60" s="11">
        <v>0.12</v>
      </c>
      <c r="J60" s="20">
        <f>J58*DL_OH!$AA$56</f>
        <v>0.48805208499373465</v>
      </c>
      <c r="K60" s="20"/>
      <c r="L60" s="20">
        <f>L58*DL_OH!$AA$66</f>
        <v>0.46196070377217091</v>
      </c>
      <c r="M60" s="20"/>
      <c r="N60" s="20"/>
      <c r="O60" s="20"/>
      <c r="P60" s="27">
        <f t="shared" si="42"/>
        <v>0.47500639438295278</v>
      </c>
      <c r="Q60" s="11">
        <f t="shared" si="43"/>
        <v>1.8449392592291065E-2</v>
      </c>
      <c r="R60" s="11">
        <f t="shared" si="44"/>
        <v>2</v>
      </c>
      <c r="U60" s="8"/>
      <c r="V60" s="20">
        <f>V58*DL_OH!$AA$56</f>
        <v>0.4828322765980797</v>
      </c>
      <c r="W60" s="20"/>
      <c r="X60" s="20"/>
      <c r="Y60" s="20"/>
      <c r="Z60" s="20"/>
      <c r="AA60" s="20"/>
      <c r="AB60" s="27">
        <f t="shared" si="45"/>
        <v>0.4828322765980797</v>
      </c>
      <c r="AC60" s="11" t="e">
        <f t="shared" si="46"/>
        <v>#DIV/0!</v>
      </c>
      <c r="AD60" s="11">
        <f t="shared" si="47"/>
        <v>1</v>
      </c>
    </row>
    <row r="61" spans="1:30">
      <c r="A61" s="8"/>
      <c r="P61" s="5"/>
      <c r="U61" s="8"/>
      <c r="AB61" s="5"/>
    </row>
    <row r="62" spans="1:30" ht="31.5" customHeight="1">
      <c r="A62" s="8"/>
      <c r="B62" s="3" t="s">
        <v>413</v>
      </c>
      <c r="C62" s="3" t="s">
        <v>441</v>
      </c>
      <c r="D62" s="3" t="s">
        <v>451</v>
      </c>
      <c r="E62" s="3" t="s">
        <v>416</v>
      </c>
      <c r="F62" s="3" t="s">
        <v>69</v>
      </c>
      <c r="G62" s="4">
        <v>20</v>
      </c>
      <c r="H62" s="3" t="s">
        <v>417</v>
      </c>
      <c r="I62" s="17">
        <v>3.3</v>
      </c>
      <c r="J62" s="2">
        <f>DL_OH!S40*15.026</f>
        <v>15.309509433962264</v>
      </c>
      <c r="P62" s="5">
        <f>AVERAGE(J62:O62)</f>
        <v>15.309509433962264</v>
      </c>
      <c r="Q62" s="3" t="e">
        <f>SQRT(VAR(J62:O62))</f>
        <v>#DIV/0!</v>
      </c>
      <c r="R62" s="3">
        <f>COUNT(J62:O62)</f>
        <v>1</v>
      </c>
      <c r="U62" s="8"/>
      <c r="V62" s="2">
        <f>DL_OH!S40*14.901</f>
        <v>15.182150943396227</v>
      </c>
      <c r="AB62" s="5">
        <f>AVERAGE(V62:AA62)</f>
        <v>15.182150943396227</v>
      </c>
      <c r="AC62" s="3" t="e">
        <f>SQRT(VAR(V62:AA62))</f>
        <v>#DIV/0!</v>
      </c>
      <c r="AD62" s="3">
        <f>COUNT(V62:AA62)</f>
        <v>1</v>
      </c>
    </row>
    <row r="63" spans="1:30" ht="31.5" customHeight="1">
      <c r="A63" s="8"/>
      <c r="G63" s="4">
        <v>40</v>
      </c>
      <c r="H63" s="3" t="s">
        <v>417</v>
      </c>
      <c r="I63" s="17">
        <v>3.3</v>
      </c>
      <c r="J63" s="2">
        <f>J62*DL_OH!$W$40</f>
        <v>17.474707935300064</v>
      </c>
      <c r="P63" s="5">
        <f>AVERAGE(J63:O63)</f>
        <v>17.474707935300064</v>
      </c>
      <c r="Q63" s="3" t="e">
        <f>SQRT(VAR(J63:O63))</f>
        <v>#DIV/0!</v>
      </c>
      <c r="R63" s="3">
        <f>COUNT(J63:O63)</f>
        <v>1</v>
      </c>
      <c r="U63" s="8"/>
      <c r="V63" s="2">
        <f>V62*DL_OH!$W$40</f>
        <v>17.329337344862655</v>
      </c>
      <c r="AB63" s="5">
        <f>AVERAGE(V63:AA63)</f>
        <v>17.329337344862655</v>
      </c>
      <c r="AC63" s="3" t="e">
        <f>SQRT(VAR(V63:AA63))</f>
        <v>#DIV/0!</v>
      </c>
      <c r="AD63" s="3">
        <f>COUNT(V63:AA63)</f>
        <v>1</v>
      </c>
    </row>
    <row r="64" spans="1:30" ht="25.5">
      <c r="A64" s="8"/>
      <c r="G64" s="4">
        <v>20</v>
      </c>
      <c r="H64" s="11" t="s">
        <v>418</v>
      </c>
      <c r="I64" s="11">
        <v>0.12</v>
      </c>
      <c r="J64" s="20">
        <f>DL_OH!S40*0.361</f>
        <v>0.36781132075471695</v>
      </c>
      <c r="K64" s="20"/>
      <c r="L64" s="20"/>
      <c r="M64" s="20"/>
      <c r="N64" s="20"/>
      <c r="O64" s="20"/>
      <c r="P64" s="27">
        <f>AVERAGE(J64:O64)</f>
        <v>0.36781132075471695</v>
      </c>
      <c r="Q64" s="11" t="e">
        <f>SQRT(VAR(J64:O64))</f>
        <v>#DIV/0!</v>
      </c>
      <c r="R64" s="11">
        <f>COUNT(J64:O64)</f>
        <v>1</v>
      </c>
      <c r="U64" s="8"/>
      <c r="V64" s="20">
        <f>DL_OH!S40*0.359</f>
        <v>0.36577358490566036</v>
      </c>
      <c r="W64" s="20"/>
      <c r="X64" s="20"/>
      <c r="Y64" s="20"/>
      <c r="Z64" s="20"/>
      <c r="AA64" s="20"/>
      <c r="AB64" s="27">
        <f>AVERAGE(V64:AA64)</f>
        <v>0.36577358490566036</v>
      </c>
      <c r="AC64" s="11" t="e">
        <f>SQRT(VAR(V64:AA64))</f>
        <v>#DIV/0!</v>
      </c>
      <c r="AD64" s="11">
        <f>COUNT(V64:AA64)</f>
        <v>1</v>
      </c>
    </row>
    <row r="65" spans="1:30" ht="25.5">
      <c r="A65" s="8"/>
      <c r="G65" s="4">
        <v>40</v>
      </c>
      <c r="H65" s="11" t="s">
        <v>418</v>
      </c>
      <c r="I65" s="11">
        <v>0.12</v>
      </c>
      <c r="J65" s="20">
        <f>J64*DL_OH!$W$40</f>
        <v>0.41983026518323724</v>
      </c>
      <c r="K65" s="20"/>
      <c r="L65" s="20"/>
      <c r="M65" s="20"/>
      <c r="N65" s="20"/>
      <c r="O65" s="20"/>
      <c r="P65" s="27">
        <f>AVERAGE(J65:O65)</f>
        <v>0.41983026518323724</v>
      </c>
      <c r="Q65" s="11" t="e">
        <f>SQRT(VAR(J65:O65))</f>
        <v>#DIV/0!</v>
      </c>
      <c r="R65" s="11">
        <f>COUNT(J65:O65)</f>
        <v>1</v>
      </c>
      <c r="U65" s="8"/>
      <c r="V65" s="20">
        <f>V64*DL_OH!$W$40</f>
        <v>0.41750433573623874</v>
      </c>
      <c r="W65" s="20"/>
      <c r="X65" s="20"/>
      <c r="Y65" s="20"/>
      <c r="Z65" s="20"/>
      <c r="AA65" s="20"/>
      <c r="AB65" s="27">
        <f>AVERAGE(V65:AA65)</f>
        <v>0.41750433573623874</v>
      </c>
      <c r="AC65" s="11" t="e">
        <f>SQRT(VAR(V65:AA65))</f>
        <v>#DIV/0!</v>
      </c>
      <c r="AD65" s="11">
        <f>COUNT(V65:AA65)</f>
        <v>1</v>
      </c>
    </row>
    <row r="66" spans="1:30">
      <c r="A66" s="8"/>
      <c r="P66" s="5"/>
      <c r="U66" s="8"/>
      <c r="AB66" s="5"/>
    </row>
    <row r="67" spans="1:30" ht="25.5">
      <c r="A67" s="8"/>
      <c r="B67" s="3" t="s">
        <v>413</v>
      </c>
      <c r="C67" s="3" t="s">
        <v>452</v>
      </c>
      <c r="D67" s="3" t="s">
        <v>453</v>
      </c>
      <c r="E67" s="3" t="s">
        <v>416</v>
      </c>
      <c r="F67" s="3" t="s">
        <v>70</v>
      </c>
      <c r="G67" s="4">
        <v>20</v>
      </c>
      <c r="H67" s="3" t="s">
        <v>417</v>
      </c>
      <c r="I67" s="17">
        <v>3.3</v>
      </c>
      <c r="K67" s="34"/>
      <c r="P67" s="5" t="e">
        <f>AVERAGE(J67:O67)</f>
        <v>#DIV/0!</v>
      </c>
      <c r="Q67" s="3" t="e">
        <f>SQRT(VAR(J67:O67))</f>
        <v>#DIV/0!</v>
      </c>
      <c r="R67" s="3">
        <f>COUNT(J67:O67)</f>
        <v>0</v>
      </c>
      <c r="U67" s="8"/>
      <c r="AB67" s="5" t="e">
        <f>AVERAGE(V67:AA67)</f>
        <v>#DIV/0!</v>
      </c>
      <c r="AC67" s="3" t="e">
        <f>SQRT(VAR(V67:AA67))</f>
        <v>#DIV/0!</v>
      </c>
      <c r="AD67" s="3">
        <f>COUNT(V67:AA67)</f>
        <v>0</v>
      </c>
    </row>
    <row r="68" spans="1:30" ht="25.5">
      <c r="A68" s="8"/>
      <c r="G68" s="4">
        <v>40</v>
      </c>
      <c r="H68" s="3" t="s">
        <v>417</v>
      </c>
      <c r="I68" s="17">
        <v>3.3</v>
      </c>
      <c r="K68" s="34"/>
      <c r="P68" s="5" t="e">
        <f>AVERAGE(J68:O68)</f>
        <v>#DIV/0!</v>
      </c>
      <c r="Q68" s="3" t="e">
        <f>SQRT(VAR(J68:O68))</f>
        <v>#DIV/0!</v>
      </c>
      <c r="R68" s="3">
        <f>COUNT(J68:O68)</f>
        <v>0</v>
      </c>
      <c r="U68" s="8"/>
      <c r="AB68" s="5" t="e">
        <f>AVERAGE(V68:AA68)</f>
        <v>#DIV/0!</v>
      </c>
      <c r="AC68" s="3" t="e">
        <f>SQRT(VAR(V68:AA68))</f>
        <v>#DIV/0!</v>
      </c>
      <c r="AD68" s="3">
        <f>COUNT(V68:AA68)</f>
        <v>0</v>
      </c>
    </row>
    <row r="69" spans="1:30" ht="25.5">
      <c r="A69" s="8"/>
      <c r="G69" s="4">
        <v>20</v>
      </c>
      <c r="H69" s="11" t="s">
        <v>418</v>
      </c>
      <c r="I69" s="11">
        <v>0.12</v>
      </c>
      <c r="J69" s="20"/>
      <c r="K69" s="35"/>
      <c r="L69" s="20"/>
      <c r="M69" s="20"/>
      <c r="N69" s="20"/>
      <c r="O69" s="20"/>
      <c r="P69" s="27" t="e">
        <f>AVERAGE(J69:O69)</f>
        <v>#DIV/0!</v>
      </c>
      <c r="Q69" s="11" t="e">
        <f>SQRT(VAR(J69:O69))</f>
        <v>#DIV/0!</v>
      </c>
      <c r="R69" s="11">
        <f>COUNT(J69:O69)</f>
        <v>0</v>
      </c>
      <c r="U69" s="8"/>
      <c r="V69" s="20"/>
      <c r="W69" s="20"/>
      <c r="X69" s="20"/>
      <c r="Y69" s="20"/>
      <c r="Z69" s="20"/>
      <c r="AA69" s="20"/>
      <c r="AB69" s="27" t="e">
        <f>AVERAGE(V69:AA69)</f>
        <v>#DIV/0!</v>
      </c>
      <c r="AC69" s="11" t="e">
        <f>SQRT(VAR(V69:AA69))</f>
        <v>#DIV/0!</v>
      </c>
      <c r="AD69" s="11">
        <f>COUNT(V69:AA69)</f>
        <v>0</v>
      </c>
    </row>
    <row r="70" spans="1:30" ht="25.5">
      <c r="A70" s="8"/>
      <c r="G70" s="4">
        <v>40</v>
      </c>
      <c r="H70" s="11" t="s">
        <v>418</v>
      </c>
      <c r="I70" s="11">
        <v>0.12</v>
      </c>
      <c r="J70" s="20"/>
      <c r="K70" s="35"/>
      <c r="L70" s="20"/>
      <c r="M70" s="20"/>
      <c r="N70" s="20"/>
      <c r="O70" s="20"/>
      <c r="P70" s="27" t="e">
        <f>AVERAGE(J70:O70)</f>
        <v>#DIV/0!</v>
      </c>
      <c r="Q70" s="11" t="e">
        <f>SQRT(VAR(J70:O70))</f>
        <v>#DIV/0!</v>
      </c>
      <c r="R70" s="11">
        <f>COUNT(J70:O70)</f>
        <v>0</v>
      </c>
      <c r="U70" s="8"/>
      <c r="V70" s="20"/>
      <c r="W70" s="20"/>
      <c r="X70" s="20"/>
      <c r="Y70" s="20"/>
      <c r="Z70" s="20"/>
      <c r="AA70" s="20"/>
      <c r="AB70" s="27" t="e">
        <f>AVERAGE(V70:AA70)</f>
        <v>#DIV/0!</v>
      </c>
      <c r="AC70" s="11" t="e">
        <f>SQRT(VAR(V70:AA70))</f>
        <v>#DIV/0!</v>
      </c>
      <c r="AD70" s="11">
        <f>COUNT(V70:AA70)</f>
        <v>0</v>
      </c>
    </row>
    <row r="71" spans="1:30">
      <c r="A71" s="8"/>
      <c r="P71" s="5"/>
      <c r="U71" s="8"/>
      <c r="AB71" s="5"/>
    </row>
    <row r="72" spans="1:30" ht="25.5">
      <c r="A72" s="8"/>
      <c r="B72" s="3" t="s">
        <v>413</v>
      </c>
      <c r="C72" s="3" t="s">
        <v>441</v>
      </c>
      <c r="D72" s="29" t="s">
        <v>451</v>
      </c>
      <c r="E72" s="3" t="s">
        <v>416</v>
      </c>
      <c r="F72" s="3" t="s">
        <v>70</v>
      </c>
      <c r="G72" s="4">
        <v>20</v>
      </c>
      <c r="H72" s="3" t="s">
        <v>417</v>
      </c>
      <c r="I72" s="17">
        <v>3.3</v>
      </c>
      <c r="K72" s="2">
        <v>14.6</v>
      </c>
      <c r="M72" s="2">
        <f>DL_OH!S37*15.68</f>
        <v>15.486419753086418</v>
      </c>
      <c r="P72" s="5">
        <f>AVERAGE(J72:O72)</f>
        <v>15.043209876543209</v>
      </c>
      <c r="Q72" s="3">
        <f>SQRT(VAR(J72:O72))</f>
        <v>0.62679341838511138</v>
      </c>
      <c r="R72" s="3">
        <f>COUNT(J72:O72)</f>
        <v>2</v>
      </c>
      <c r="U72" s="8"/>
      <c r="Y72" s="2">
        <f>DL_OH!S37*15.36</f>
        <v>15.170370370370369</v>
      </c>
      <c r="AB72" s="5">
        <f>AVERAGE(V72:AA72)</f>
        <v>15.170370370370369</v>
      </c>
      <c r="AC72" s="3" t="e">
        <f>SQRT(VAR(V72:AA72))</f>
        <v>#DIV/0!</v>
      </c>
      <c r="AD72" s="3">
        <f>COUNT(V72:AA72)</f>
        <v>1</v>
      </c>
    </row>
    <row r="73" spans="1:30" ht="25.5">
      <c r="A73" s="8"/>
      <c r="D73" s="29"/>
      <c r="G73" s="4">
        <v>40</v>
      </c>
      <c r="H73" s="3" t="s">
        <v>417</v>
      </c>
      <c r="I73" s="17">
        <v>3.3</v>
      </c>
      <c r="K73" s="2">
        <f>K72*DL_OH!$W$31</f>
        <v>16.706437167646239</v>
      </c>
      <c r="M73" s="2">
        <f>M72*DL_OH!$W$37</f>
        <v>18.206860881596132</v>
      </c>
      <c r="P73" s="5">
        <f>AVERAGE(J73:O73)</f>
        <v>17.456649024621186</v>
      </c>
      <c r="Q73" s="3">
        <f>SQRT(VAR(J73:O73))</f>
        <v>1.0609597827870736</v>
      </c>
      <c r="R73" s="3">
        <f>COUNT(J73:O73)</f>
        <v>2</v>
      </c>
      <c r="U73" s="8"/>
      <c r="Y73" s="2">
        <f>Y72*DL_OH!$W$37</f>
        <v>17.835292292175804</v>
      </c>
      <c r="AB73" s="5">
        <f>AVERAGE(V73:AA73)</f>
        <v>17.835292292175804</v>
      </c>
      <c r="AC73" s="3" t="e">
        <f>SQRT(VAR(V73:AA73))</f>
        <v>#DIV/0!</v>
      </c>
      <c r="AD73" s="3">
        <f>COUNT(V73:AA73)</f>
        <v>1</v>
      </c>
    </row>
    <row r="74" spans="1:30" ht="25.5">
      <c r="A74" s="8"/>
      <c r="G74" s="4">
        <v>20</v>
      </c>
      <c r="H74" s="11" t="s">
        <v>418</v>
      </c>
      <c r="I74" s="11">
        <v>0.12</v>
      </c>
      <c r="J74" s="20"/>
      <c r="K74" s="20">
        <v>0.505</v>
      </c>
      <c r="L74" s="20"/>
      <c r="M74" s="20">
        <f>DL_OH!S37*0.673</f>
        <v>0.66469135802469137</v>
      </c>
      <c r="N74" s="20"/>
      <c r="O74" s="20"/>
      <c r="P74" s="27">
        <f>AVERAGE(J74:O74)</f>
        <v>0.58484567901234574</v>
      </c>
      <c r="Q74" s="11">
        <f>SQRT(VAR(J74:O74))</f>
        <v>0.11291884215614766</v>
      </c>
      <c r="R74" s="11">
        <f>COUNT(J74:O74)</f>
        <v>2</v>
      </c>
      <c r="U74" s="8"/>
      <c r="V74" s="20"/>
      <c r="W74" s="20"/>
      <c r="X74" s="20"/>
      <c r="Y74" s="20">
        <f>DL_OH!S37*0.5</f>
        <v>0.49382716049382713</v>
      </c>
      <c r="Z74" s="20"/>
      <c r="AA74" s="20"/>
      <c r="AB74" s="27">
        <f>AVERAGE(V74:AA74)</f>
        <v>0.49382716049382713</v>
      </c>
      <c r="AC74" s="11" t="e">
        <f>SQRT(VAR(V74:AA74))</f>
        <v>#DIV/0!</v>
      </c>
      <c r="AD74" s="11">
        <f>COUNT(V74:AA74)</f>
        <v>1</v>
      </c>
    </row>
    <row r="75" spans="1:30" ht="25.5">
      <c r="A75" s="8"/>
      <c r="G75" s="4">
        <v>40</v>
      </c>
      <c r="H75" s="11" t="s">
        <v>418</v>
      </c>
      <c r="I75" s="11">
        <v>0.12</v>
      </c>
      <c r="J75" s="20"/>
      <c r="K75" s="20">
        <f>K74*DL_OH!$W$31</f>
        <v>0.57785964175762683</v>
      </c>
      <c r="L75" s="20"/>
      <c r="M75" s="20">
        <f>M74*DL_OH!$W$37</f>
        <v>0.78145518962463001</v>
      </c>
      <c r="N75" s="20"/>
      <c r="O75" s="20"/>
      <c r="P75" s="27">
        <f>AVERAGE(J75:O75)</f>
        <v>0.67965741569112836</v>
      </c>
      <c r="Q75" s="11">
        <f>SQRT(VAR(J75:O75))</f>
        <v>0.14396379251614885</v>
      </c>
      <c r="R75" s="11">
        <f>COUNT(J75:O75)</f>
        <v>2</v>
      </c>
      <c r="U75" s="8"/>
      <c r="V75" s="20"/>
      <c r="W75" s="20"/>
      <c r="X75" s="20"/>
      <c r="Y75" s="20">
        <f>Y74*DL_OH!$W$37</f>
        <v>0.58057592096926447</v>
      </c>
      <c r="Z75" s="20"/>
      <c r="AA75" s="20"/>
      <c r="AB75" s="27">
        <f>AVERAGE(V75:AA75)</f>
        <v>0.58057592096926447</v>
      </c>
      <c r="AC75" s="11" t="e">
        <f>SQRT(VAR(V75:AA75))</f>
        <v>#DIV/0!</v>
      </c>
      <c r="AD75" s="11">
        <f>COUNT(V75:AA75)</f>
        <v>1</v>
      </c>
    </row>
    <row r="76" spans="1:30">
      <c r="A76" s="8"/>
      <c r="P76" s="5"/>
      <c r="U76" s="8"/>
      <c r="AB76" s="5"/>
    </row>
    <row r="77" spans="1:30" ht="25.5">
      <c r="A77" s="8"/>
      <c r="B77" s="3" t="s">
        <v>413</v>
      </c>
      <c r="C77" s="3" t="s">
        <v>441</v>
      </c>
      <c r="D77" s="3" t="s">
        <v>451</v>
      </c>
      <c r="E77" s="29" t="s">
        <v>429</v>
      </c>
      <c r="F77" s="3" t="s">
        <v>70</v>
      </c>
      <c r="G77" s="4">
        <v>20</v>
      </c>
      <c r="H77" s="3" t="s">
        <v>417</v>
      </c>
      <c r="I77" s="17">
        <v>3.3</v>
      </c>
      <c r="K77" s="2">
        <v>14.29</v>
      </c>
      <c r="P77" s="5">
        <f t="shared" ref="P77:P82" si="48">AVERAGE(J77:O77)</f>
        <v>14.29</v>
      </c>
      <c r="Q77" s="3" t="e">
        <f t="shared" ref="Q77:Q82" si="49">SQRT(VAR(J77:O77))</f>
        <v>#DIV/0!</v>
      </c>
      <c r="R77" s="3">
        <f t="shared" ref="R77:R82" si="50">COUNT(J77:O77)</f>
        <v>1</v>
      </c>
      <c r="U77" s="8"/>
      <c r="AB77" s="5" t="e">
        <f t="shared" ref="AB77:AB82" si="51">AVERAGE(V77:AA77)</f>
        <v>#DIV/0!</v>
      </c>
      <c r="AC77" s="3" t="e">
        <f t="shared" ref="AC77:AC82" si="52">SQRT(VAR(V77:AA77))</f>
        <v>#DIV/0!</v>
      </c>
      <c r="AD77" s="3">
        <f t="shared" ref="AD77:AD82" si="53">COUNT(V77:AA77)</f>
        <v>0</v>
      </c>
    </row>
    <row r="78" spans="1:30" ht="25.5">
      <c r="A78" s="8"/>
      <c r="E78" s="29"/>
      <c r="G78" s="4">
        <v>40</v>
      </c>
      <c r="H78" s="3" t="s">
        <v>417</v>
      </c>
      <c r="I78" s="17">
        <v>3.3</v>
      </c>
      <c r="K78" s="2">
        <f>K77*DL_OH!$W$52</f>
        <v>16.682522608801065</v>
      </c>
      <c r="P78" s="5">
        <f t="shared" si="48"/>
        <v>16.682522608801065</v>
      </c>
      <c r="Q78" s="3" t="e">
        <f t="shared" si="49"/>
        <v>#DIV/0!</v>
      </c>
      <c r="R78" s="3">
        <f t="shared" si="50"/>
        <v>1</v>
      </c>
      <c r="U78" s="8"/>
      <c r="AB78" s="5" t="e">
        <f t="shared" si="51"/>
        <v>#DIV/0!</v>
      </c>
      <c r="AC78" s="3" t="e">
        <f t="shared" si="52"/>
        <v>#DIV/0!</v>
      </c>
      <c r="AD78" s="3">
        <f t="shared" si="53"/>
        <v>0</v>
      </c>
    </row>
    <row r="79" spans="1:30" ht="25.5">
      <c r="A79" s="8"/>
      <c r="E79" s="29"/>
      <c r="G79" s="4">
        <v>100</v>
      </c>
      <c r="H79" s="3" t="s">
        <v>417</v>
      </c>
      <c r="I79" s="17">
        <v>3.3</v>
      </c>
      <c r="K79" s="2">
        <f>K77*DL_OH!$AA$52</f>
        <v>18.310948575584916</v>
      </c>
      <c r="P79" s="5">
        <f t="shared" si="48"/>
        <v>18.310948575584916</v>
      </c>
      <c r="Q79" s="3" t="e">
        <f t="shared" si="49"/>
        <v>#DIV/0!</v>
      </c>
      <c r="R79" s="3">
        <f t="shared" si="50"/>
        <v>1</v>
      </c>
      <c r="U79" s="8"/>
      <c r="AB79" s="5" t="e">
        <f t="shared" si="51"/>
        <v>#DIV/0!</v>
      </c>
      <c r="AC79" s="3" t="e">
        <f t="shared" si="52"/>
        <v>#DIV/0!</v>
      </c>
      <c r="AD79" s="3">
        <f t="shared" si="53"/>
        <v>0</v>
      </c>
    </row>
    <row r="80" spans="1:30" ht="25.5">
      <c r="A80" s="8"/>
      <c r="G80" s="4">
        <v>20</v>
      </c>
      <c r="H80" s="11" t="s">
        <v>418</v>
      </c>
      <c r="I80" s="11">
        <v>0.12</v>
      </c>
      <c r="J80" s="20"/>
      <c r="K80" s="20">
        <v>0.47</v>
      </c>
      <c r="L80" s="20"/>
      <c r="M80" s="20"/>
      <c r="N80" s="20"/>
      <c r="O80" s="20"/>
      <c r="P80" s="27">
        <f t="shared" si="48"/>
        <v>0.47</v>
      </c>
      <c r="Q80" s="11" t="e">
        <f t="shared" si="49"/>
        <v>#DIV/0!</v>
      </c>
      <c r="R80" s="11">
        <f t="shared" si="50"/>
        <v>1</v>
      </c>
      <c r="U80" s="8"/>
      <c r="V80" s="20"/>
      <c r="W80" s="20"/>
      <c r="X80" s="20"/>
      <c r="Y80" s="20"/>
      <c r="Z80" s="20"/>
      <c r="AA80" s="20"/>
      <c r="AB80" s="27" t="e">
        <f t="shared" si="51"/>
        <v>#DIV/0!</v>
      </c>
      <c r="AC80" s="11" t="e">
        <f t="shared" si="52"/>
        <v>#DIV/0!</v>
      </c>
      <c r="AD80" s="11">
        <f t="shared" si="53"/>
        <v>0</v>
      </c>
    </row>
    <row r="81" spans="1:30" ht="25.5">
      <c r="A81" s="8"/>
      <c r="G81" s="4">
        <v>40</v>
      </c>
      <c r="H81" s="11" t="s">
        <v>418</v>
      </c>
      <c r="I81" s="11">
        <v>0.12</v>
      </c>
      <c r="J81" s="20"/>
      <c r="K81" s="20">
        <f>K80*DL_OH!$W$52</f>
        <v>0.54869038671354098</v>
      </c>
      <c r="L81" s="20"/>
      <c r="M81" s="20"/>
      <c r="N81" s="20"/>
      <c r="O81" s="20"/>
      <c r="P81" s="27">
        <f t="shared" si="48"/>
        <v>0.54869038671354098</v>
      </c>
      <c r="Q81" s="11" t="e">
        <f t="shared" si="49"/>
        <v>#DIV/0!</v>
      </c>
      <c r="R81" s="11">
        <f t="shared" si="50"/>
        <v>1</v>
      </c>
      <c r="U81" s="8"/>
      <c r="V81" s="20"/>
      <c r="W81" s="20"/>
      <c r="X81" s="20"/>
      <c r="Y81" s="20"/>
      <c r="Z81" s="20"/>
      <c r="AA81" s="20"/>
      <c r="AB81" s="27" t="e">
        <f t="shared" si="51"/>
        <v>#DIV/0!</v>
      </c>
      <c r="AC81" s="11" t="e">
        <f t="shared" si="52"/>
        <v>#DIV/0!</v>
      </c>
      <c r="AD81" s="11">
        <f t="shared" si="53"/>
        <v>0</v>
      </c>
    </row>
    <row r="82" spans="1:30" ht="25.5">
      <c r="A82" s="8"/>
      <c r="G82" s="4">
        <v>100</v>
      </c>
      <c r="H82" s="11" t="s">
        <v>418</v>
      </c>
      <c r="I82" s="11">
        <v>0.12</v>
      </c>
      <c r="J82" s="20"/>
      <c r="K82" s="20">
        <f>K80*DL_OH!$AA$52</f>
        <v>0.60224953327676078</v>
      </c>
      <c r="L82" s="20"/>
      <c r="M82" s="20"/>
      <c r="N82" s="20"/>
      <c r="O82" s="20"/>
      <c r="P82" s="27">
        <f t="shared" si="48"/>
        <v>0.60224953327676078</v>
      </c>
      <c r="Q82" s="11" t="e">
        <f t="shared" si="49"/>
        <v>#DIV/0!</v>
      </c>
      <c r="R82" s="11">
        <f t="shared" si="50"/>
        <v>1</v>
      </c>
      <c r="U82" s="8"/>
      <c r="V82" s="20"/>
      <c r="W82" s="20"/>
      <c r="X82" s="20"/>
      <c r="Y82" s="20"/>
      <c r="Z82" s="20"/>
      <c r="AA82" s="20"/>
      <c r="AB82" s="27" t="e">
        <f t="shared" si="51"/>
        <v>#DIV/0!</v>
      </c>
      <c r="AC82" s="11" t="e">
        <f t="shared" si="52"/>
        <v>#DIV/0!</v>
      </c>
      <c r="AD82" s="11">
        <f t="shared" si="53"/>
        <v>0</v>
      </c>
    </row>
    <row r="83" spans="1:30">
      <c r="A83" s="8"/>
      <c r="P83" s="5"/>
      <c r="U83" s="8"/>
      <c r="AB83" s="5"/>
    </row>
    <row r="84" spans="1:30">
      <c r="A84" s="8"/>
      <c r="P84" s="5"/>
      <c r="U84" s="8"/>
      <c r="AB84" s="5"/>
    </row>
    <row r="85" spans="1:30" ht="25.5">
      <c r="A85" s="8"/>
      <c r="B85" s="29" t="s">
        <v>413</v>
      </c>
      <c r="C85" s="3" t="s">
        <v>454</v>
      </c>
      <c r="D85" s="3" t="s">
        <v>455</v>
      </c>
      <c r="E85" s="3" t="s">
        <v>416</v>
      </c>
      <c r="F85" s="3" t="s">
        <v>69</v>
      </c>
      <c r="G85" s="4">
        <v>20</v>
      </c>
      <c r="H85" s="3" t="s">
        <v>417</v>
      </c>
      <c r="I85" s="17">
        <v>3.3</v>
      </c>
      <c r="P85" s="5" t="e">
        <f>AVERAGE(J85:O85)</f>
        <v>#DIV/0!</v>
      </c>
      <c r="Q85" s="3" t="e">
        <f>SQRT(VAR(J85:O85))</f>
        <v>#DIV/0!</v>
      </c>
      <c r="R85" s="3">
        <f>COUNT(J85:O85)</f>
        <v>0</v>
      </c>
      <c r="U85" s="8"/>
      <c r="AB85" s="5" t="e">
        <f>AVERAGE(V85:AA85)</f>
        <v>#DIV/0!</v>
      </c>
      <c r="AC85" s="3" t="e">
        <f>SQRT(VAR(V85:AA85))</f>
        <v>#DIV/0!</v>
      </c>
      <c r="AD85" s="3">
        <f>COUNT(V85:AA85)</f>
        <v>0</v>
      </c>
    </row>
    <row r="86" spans="1:30" ht="25.5">
      <c r="A86" s="8"/>
      <c r="B86" s="29"/>
      <c r="G86" s="4">
        <v>40</v>
      </c>
      <c r="H86" s="3" t="s">
        <v>417</v>
      </c>
      <c r="I86" s="17">
        <v>3.3</v>
      </c>
      <c r="P86" s="5" t="e">
        <f>AVERAGE(J86:O86)</f>
        <v>#DIV/0!</v>
      </c>
      <c r="Q86" s="3" t="e">
        <f>SQRT(VAR(J86:O86))</f>
        <v>#DIV/0!</v>
      </c>
      <c r="R86" s="3">
        <f>COUNT(J86:O86)</f>
        <v>0</v>
      </c>
      <c r="U86" s="8"/>
      <c r="AB86" s="5" t="e">
        <f>AVERAGE(V86:AA86)</f>
        <v>#DIV/0!</v>
      </c>
      <c r="AC86" s="3" t="e">
        <f>SQRT(VAR(V86:AA86))</f>
        <v>#DIV/0!</v>
      </c>
      <c r="AD86" s="3">
        <f>COUNT(V86:AA86)</f>
        <v>0</v>
      </c>
    </row>
    <row r="87" spans="1:30" ht="25.5">
      <c r="A87" s="8"/>
      <c r="G87" s="4">
        <v>20</v>
      </c>
      <c r="H87" s="11" t="s">
        <v>418</v>
      </c>
      <c r="I87" s="11">
        <v>0.12</v>
      </c>
      <c r="J87" s="20"/>
      <c r="K87" s="20"/>
      <c r="L87" s="20"/>
      <c r="M87" s="20"/>
      <c r="N87" s="20"/>
      <c r="O87" s="20"/>
      <c r="P87" s="27" t="e">
        <f>AVERAGE(J87:O87)</f>
        <v>#DIV/0!</v>
      </c>
      <c r="Q87" s="11" t="e">
        <f>SQRT(VAR(J87:O87))</f>
        <v>#DIV/0!</v>
      </c>
      <c r="R87" s="11">
        <f>COUNT(J87:O87)</f>
        <v>0</v>
      </c>
      <c r="U87" s="8"/>
      <c r="V87" s="20"/>
      <c r="W87" s="20"/>
      <c r="X87" s="20"/>
      <c r="Y87" s="20"/>
      <c r="Z87" s="20"/>
      <c r="AA87" s="20"/>
      <c r="AB87" s="27" t="e">
        <f>AVERAGE(V87:AA87)</f>
        <v>#DIV/0!</v>
      </c>
      <c r="AC87" s="11" t="e">
        <f>SQRT(VAR(V87:AA87))</f>
        <v>#DIV/0!</v>
      </c>
      <c r="AD87" s="11">
        <f>COUNT(V87:AA87)</f>
        <v>0</v>
      </c>
    </row>
    <row r="88" spans="1:30" ht="25.5">
      <c r="A88" s="8"/>
      <c r="G88" s="4">
        <v>40</v>
      </c>
      <c r="H88" s="11" t="s">
        <v>418</v>
      </c>
      <c r="I88" s="11">
        <v>0.12</v>
      </c>
      <c r="J88" s="20"/>
      <c r="K88" s="20"/>
      <c r="L88" s="20"/>
      <c r="M88" s="20"/>
      <c r="N88" s="20"/>
      <c r="O88" s="20"/>
      <c r="P88" s="27" t="e">
        <f>AVERAGE(J88:O88)</f>
        <v>#DIV/0!</v>
      </c>
      <c r="Q88" s="11" t="e">
        <f>SQRT(VAR(J88:O88))</f>
        <v>#DIV/0!</v>
      </c>
      <c r="R88" s="11">
        <f>COUNT(J88:O88)</f>
        <v>0</v>
      </c>
      <c r="U88" s="8"/>
      <c r="V88" s="20"/>
      <c r="W88" s="20"/>
      <c r="X88" s="20"/>
      <c r="Y88" s="20"/>
      <c r="Z88" s="20"/>
      <c r="AA88" s="20"/>
      <c r="AB88" s="27" t="e">
        <f>AVERAGE(V88:AA88)</f>
        <v>#DIV/0!</v>
      </c>
      <c r="AC88" s="11" t="e">
        <f>SQRT(VAR(V88:AA88))</f>
        <v>#DIV/0!</v>
      </c>
      <c r="AD88" s="11">
        <f>COUNT(V88:AA88)</f>
        <v>0</v>
      </c>
    </row>
    <row r="89" spans="1:30">
      <c r="A89" s="8"/>
      <c r="U89" s="8"/>
    </row>
    <row r="90" spans="1:30" ht="25.5">
      <c r="A90" s="8"/>
      <c r="B90" s="3" t="s">
        <v>413</v>
      </c>
      <c r="C90" s="3" t="s">
        <v>456</v>
      </c>
      <c r="D90" s="29" t="s">
        <v>457</v>
      </c>
      <c r="E90" s="29" t="s">
        <v>429</v>
      </c>
      <c r="F90" s="3" t="s">
        <v>458</v>
      </c>
      <c r="G90" s="4">
        <v>20</v>
      </c>
      <c r="H90" s="3" t="s">
        <v>417</v>
      </c>
      <c r="I90" s="17">
        <v>3.3</v>
      </c>
      <c r="N90" s="2">
        <f>DL_OH!S68*12.24</f>
        <v>12.009056603773585</v>
      </c>
      <c r="P90" s="5">
        <f t="shared" ref="P90:P95" si="54">AVERAGE(J90:O90)</f>
        <v>12.009056603773585</v>
      </c>
      <c r="Q90" s="3" t="e">
        <f t="shared" ref="Q90:Q95" si="55">SQRT(VAR(J90:O90))</f>
        <v>#DIV/0!</v>
      </c>
      <c r="R90" s="3">
        <f t="shared" ref="R90:R95" si="56">COUNT(J90:O90)</f>
        <v>1</v>
      </c>
      <c r="U90" s="8"/>
      <c r="AB90" s="5" t="e">
        <f t="shared" ref="AB90:AB95" si="57">AVERAGE(V90:AA90)</f>
        <v>#DIV/0!</v>
      </c>
      <c r="AC90" s="3" t="e">
        <f t="shared" ref="AC90:AC95" si="58">SQRT(VAR(V90:AA90))</f>
        <v>#DIV/0!</v>
      </c>
      <c r="AD90" s="3">
        <f t="shared" ref="AD90:AD95" si="59">COUNT(V90:AA90)</f>
        <v>0</v>
      </c>
    </row>
    <row r="91" spans="1:30" ht="25.5">
      <c r="A91" s="8"/>
      <c r="D91" s="29"/>
      <c r="E91" s="29"/>
      <c r="G91" s="4">
        <v>40</v>
      </c>
      <c r="H91" s="3" t="s">
        <v>417</v>
      </c>
      <c r="I91" s="17">
        <v>3.3</v>
      </c>
      <c r="N91" s="2">
        <f>N90*DL_OH!$W$68</f>
        <v>14.158072076055715</v>
      </c>
      <c r="P91" s="5">
        <f t="shared" si="54"/>
        <v>14.158072076055715</v>
      </c>
      <c r="Q91" s="3" t="e">
        <f t="shared" si="55"/>
        <v>#DIV/0!</v>
      </c>
      <c r="R91" s="3">
        <f t="shared" si="56"/>
        <v>1</v>
      </c>
      <c r="U91" s="8"/>
      <c r="AB91" s="5" t="e">
        <f t="shared" si="57"/>
        <v>#DIV/0!</v>
      </c>
      <c r="AC91" s="3" t="e">
        <f t="shared" si="58"/>
        <v>#DIV/0!</v>
      </c>
      <c r="AD91" s="3">
        <f t="shared" si="59"/>
        <v>0</v>
      </c>
    </row>
    <row r="92" spans="1:30" ht="25.5">
      <c r="A92" s="8"/>
      <c r="D92" s="29"/>
      <c r="E92" s="29"/>
      <c r="G92" s="4">
        <v>100</v>
      </c>
      <c r="H92" s="3" t="s">
        <v>417</v>
      </c>
      <c r="I92" s="17">
        <v>3.3</v>
      </c>
      <c r="N92" s="2">
        <f>N90*DL_OH!$AA$68</f>
        <v>15.612216103020621</v>
      </c>
      <c r="P92" s="5">
        <f t="shared" si="54"/>
        <v>15.612216103020621</v>
      </c>
      <c r="Q92" s="3" t="e">
        <f t="shared" si="55"/>
        <v>#DIV/0!</v>
      </c>
      <c r="R92" s="3">
        <f t="shared" si="56"/>
        <v>1</v>
      </c>
      <c r="U92" s="8"/>
      <c r="AB92" s="5" t="e">
        <f t="shared" si="57"/>
        <v>#DIV/0!</v>
      </c>
      <c r="AC92" s="3" t="e">
        <f t="shared" si="58"/>
        <v>#DIV/0!</v>
      </c>
      <c r="AD92" s="3">
        <f t="shared" si="59"/>
        <v>0</v>
      </c>
    </row>
    <row r="93" spans="1:30" ht="25.5">
      <c r="A93" s="8"/>
      <c r="G93" s="4">
        <v>20</v>
      </c>
      <c r="H93" s="11" t="s">
        <v>418</v>
      </c>
      <c r="I93" s="11">
        <v>0.12</v>
      </c>
      <c r="J93" s="20"/>
      <c r="K93" s="20"/>
      <c r="L93" s="20"/>
      <c r="M93" s="20"/>
      <c r="N93" s="20">
        <f>DL_OH!S68*0.3</f>
        <v>0.29433962264150942</v>
      </c>
      <c r="O93" s="20"/>
      <c r="P93" s="27">
        <f t="shared" si="54"/>
        <v>0.29433962264150942</v>
      </c>
      <c r="Q93" s="11" t="e">
        <f t="shared" si="55"/>
        <v>#DIV/0!</v>
      </c>
      <c r="R93" s="11">
        <f t="shared" si="56"/>
        <v>1</v>
      </c>
      <c r="U93" s="8"/>
      <c r="V93" s="20"/>
      <c r="W93" s="20"/>
      <c r="X93" s="20"/>
      <c r="Y93" s="20"/>
      <c r="Z93" s="20"/>
      <c r="AA93" s="20"/>
      <c r="AB93" s="27" t="e">
        <f t="shared" si="57"/>
        <v>#DIV/0!</v>
      </c>
      <c r="AC93" s="11" t="e">
        <f t="shared" si="58"/>
        <v>#DIV/0!</v>
      </c>
      <c r="AD93" s="11">
        <f t="shared" si="59"/>
        <v>0</v>
      </c>
    </row>
    <row r="94" spans="1:30" ht="25.5">
      <c r="A94" s="8"/>
      <c r="G94" s="4">
        <v>40</v>
      </c>
      <c r="H94" s="11" t="s">
        <v>418</v>
      </c>
      <c r="I94" s="11">
        <v>0.12</v>
      </c>
      <c r="J94" s="20"/>
      <c r="K94" s="20"/>
      <c r="L94" s="20"/>
      <c r="M94" s="20"/>
      <c r="N94" s="20">
        <f>N93*DL_OH!$W$68</f>
        <v>0.34701157049156162</v>
      </c>
      <c r="O94" s="20"/>
      <c r="P94" s="27">
        <f t="shared" si="54"/>
        <v>0.34701157049156162</v>
      </c>
      <c r="Q94" s="11" t="e">
        <f t="shared" si="55"/>
        <v>#DIV/0!</v>
      </c>
      <c r="R94" s="11">
        <f t="shared" si="56"/>
        <v>1</v>
      </c>
      <c r="U94" s="8"/>
      <c r="V94" s="20"/>
      <c r="W94" s="20"/>
      <c r="X94" s="20"/>
      <c r="Y94" s="20"/>
      <c r="Z94" s="20"/>
      <c r="AA94" s="20"/>
      <c r="AB94" s="27" t="e">
        <f t="shared" si="57"/>
        <v>#DIV/0!</v>
      </c>
      <c r="AC94" s="11" t="e">
        <f t="shared" si="58"/>
        <v>#DIV/0!</v>
      </c>
      <c r="AD94" s="11">
        <f t="shared" si="59"/>
        <v>0</v>
      </c>
    </row>
    <row r="95" spans="1:30" ht="25.5">
      <c r="A95" s="8"/>
      <c r="G95" s="4">
        <v>100</v>
      </c>
      <c r="H95" s="11" t="s">
        <v>418</v>
      </c>
      <c r="I95" s="11">
        <v>0.12</v>
      </c>
      <c r="J95" s="20"/>
      <c r="K95" s="20"/>
      <c r="L95" s="20"/>
      <c r="M95" s="20"/>
      <c r="N95" s="20">
        <f>N93*DL_OH!$AA$68</f>
        <v>0.3826523554661917</v>
      </c>
      <c r="O95" s="20"/>
      <c r="P95" s="27">
        <f t="shared" si="54"/>
        <v>0.3826523554661917</v>
      </c>
      <c r="Q95" s="11" t="e">
        <f t="shared" si="55"/>
        <v>#DIV/0!</v>
      </c>
      <c r="R95" s="11">
        <f t="shared" si="56"/>
        <v>1</v>
      </c>
      <c r="U95" s="8"/>
      <c r="V95" s="20"/>
      <c r="W95" s="20"/>
      <c r="X95" s="20"/>
      <c r="Y95" s="20"/>
      <c r="Z95" s="20"/>
      <c r="AA95" s="20"/>
      <c r="AB95" s="27" t="e">
        <f t="shared" si="57"/>
        <v>#DIV/0!</v>
      </c>
      <c r="AC95" s="11" t="e">
        <f t="shared" si="58"/>
        <v>#DIV/0!</v>
      </c>
      <c r="AD95" s="11">
        <f t="shared" si="59"/>
        <v>0</v>
      </c>
    </row>
    <row r="96" spans="1:30">
      <c r="A96" s="8"/>
      <c r="P96" s="5"/>
      <c r="U96" s="8"/>
      <c r="AB96" s="5"/>
    </row>
    <row r="97" spans="1:30" ht="25.5">
      <c r="A97" s="8"/>
      <c r="B97" s="3" t="s">
        <v>413</v>
      </c>
      <c r="C97" s="3" t="s">
        <v>445</v>
      </c>
      <c r="D97" s="29" t="s">
        <v>459</v>
      </c>
      <c r="E97" s="29" t="s">
        <v>429</v>
      </c>
      <c r="F97" s="3" t="s">
        <v>69</v>
      </c>
      <c r="G97" s="4">
        <v>20</v>
      </c>
      <c r="H97" s="3" t="s">
        <v>417</v>
      </c>
      <c r="I97" s="17">
        <v>3.3</v>
      </c>
      <c r="P97" s="5" t="e">
        <f t="shared" ref="P97:P102" si="60">AVERAGE(J97:O97)</f>
        <v>#DIV/0!</v>
      </c>
      <c r="Q97" s="3" t="e">
        <f t="shared" ref="Q97:Q102" si="61">SQRT(VAR(J97:O97))</f>
        <v>#DIV/0!</v>
      </c>
      <c r="R97" s="3">
        <f t="shared" ref="R97:R102" si="62">COUNT(J97:O97)</f>
        <v>0</v>
      </c>
      <c r="U97" s="8"/>
      <c r="AA97" s="2">
        <f>DL_OH!S63*12.91</f>
        <v>12.666415094339621</v>
      </c>
      <c r="AB97" s="5">
        <f t="shared" ref="AB97:AB102" si="63">AVERAGE(V97:AA97)</f>
        <v>12.666415094339621</v>
      </c>
      <c r="AC97" s="3" t="e">
        <f t="shared" ref="AC97:AC102" si="64">SQRT(VAR(V97:AA97))</f>
        <v>#DIV/0!</v>
      </c>
      <c r="AD97" s="3">
        <f t="shared" ref="AD97:AD102" si="65">COUNT(V97:AA97)</f>
        <v>1</v>
      </c>
    </row>
    <row r="98" spans="1:30" ht="25.5">
      <c r="A98" s="8"/>
      <c r="D98" s="29"/>
      <c r="E98" s="29"/>
      <c r="G98" s="4">
        <v>40</v>
      </c>
      <c r="H98" s="3" t="s">
        <v>417</v>
      </c>
      <c r="I98" s="17">
        <v>3.3</v>
      </c>
      <c r="P98" s="5" t="e">
        <f t="shared" si="60"/>
        <v>#DIV/0!</v>
      </c>
      <c r="Q98" s="3" t="e">
        <f t="shared" si="61"/>
        <v>#DIV/0!</v>
      </c>
      <c r="R98" s="3">
        <f t="shared" si="62"/>
        <v>0</v>
      </c>
      <c r="U98" s="8"/>
      <c r="AA98" s="2">
        <f>AA97*DL_OH!$W$63</f>
        <v>14.741424798399837</v>
      </c>
      <c r="AB98" s="5">
        <f t="shared" si="63"/>
        <v>14.741424798399837</v>
      </c>
      <c r="AC98" s="3" t="e">
        <f t="shared" si="64"/>
        <v>#DIV/0!</v>
      </c>
      <c r="AD98" s="3">
        <f t="shared" si="65"/>
        <v>1</v>
      </c>
    </row>
    <row r="99" spans="1:30" ht="25.5">
      <c r="A99" s="8"/>
      <c r="D99" s="29"/>
      <c r="E99" s="29"/>
      <c r="G99" s="4">
        <v>100</v>
      </c>
      <c r="H99" s="3" t="s">
        <v>417</v>
      </c>
      <c r="I99" s="17">
        <v>3.3</v>
      </c>
      <c r="P99" s="5" t="e">
        <f t="shared" si="60"/>
        <v>#DIV/0!</v>
      </c>
      <c r="Q99" s="3" t="e">
        <f t="shared" si="61"/>
        <v>#DIV/0!</v>
      </c>
      <c r="R99" s="3">
        <f t="shared" si="62"/>
        <v>0</v>
      </c>
      <c r="U99" s="8"/>
      <c r="AA99" s="2">
        <f>AA97*DL_OH!$AA$63</f>
        <v>16.15530494431901</v>
      </c>
      <c r="AB99" s="5">
        <f t="shared" si="63"/>
        <v>16.15530494431901</v>
      </c>
      <c r="AC99" s="3" t="e">
        <f t="shared" si="64"/>
        <v>#DIV/0!</v>
      </c>
      <c r="AD99" s="3">
        <f t="shared" si="65"/>
        <v>1</v>
      </c>
    </row>
    <row r="100" spans="1:30" ht="25.5">
      <c r="A100" s="8"/>
      <c r="G100" s="4">
        <v>20</v>
      </c>
      <c r="H100" s="11" t="s">
        <v>418</v>
      </c>
      <c r="I100" s="11">
        <v>0.12</v>
      </c>
      <c r="J100" s="20"/>
      <c r="K100" s="20"/>
      <c r="L100" s="20"/>
      <c r="M100" s="20"/>
      <c r="N100" s="20"/>
      <c r="O100" s="20"/>
      <c r="P100" s="27" t="e">
        <f t="shared" si="60"/>
        <v>#DIV/0!</v>
      </c>
      <c r="Q100" s="11" t="e">
        <f t="shared" si="61"/>
        <v>#DIV/0!</v>
      </c>
      <c r="R100" s="11">
        <f t="shared" si="62"/>
        <v>0</v>
      </c>
      <c r="U100" s="8"/>
      <c r="V100" s="20"/>
      <c r="W100" s="20"/>
      <c r="X100" s="20"/>
      <c r="Y100" s="20"/>
      <c r="Z100" s="20"/>
      <c r="AA100" s="20">
        <f>DL_OH!S63*0.579</f>
        <v>0.56807547169811312</v>
      </c>
      <c r="AB100" s="27">
        <f t="shared" si="63"/>
        <v>0.56807547169811312</v>
      </c>
      <c r="AC100" s="11" t="e">
        <f t="shared" si="64"/>
        <v>#DIV/0!</v>
      </c>
      <c r="AD100" s="11">
        <f t="shared" si="65"/>
        <v>1</v>
      </c>
    </row>
    <row r="101" spans="1:30" ht="25.5">
      <c r="A101" s="8"/>
      <c r="G101" s="4">
        <v>40</v>
      </c>
      <c r="H101" s="11" t="s">
        <v>418</v>
      </c>
      <c r="I101" s="11">
        <v>0.12</v>
      </c>
      <c r="J101" s="20"/>
      <c r="K101" s="20"/>
      <c r="L101" s="20"/>
      <c r="M101" s="20"/>
      <c r="N101" s="20"/>
      <c r="O101" s="20"/>
      <c r="P101" s="27" t="e">
        <f t="shared" si="60"/>
        <v>#DIV/0!</v>
      </c>
      <c r="Q101" s="11" t="e">
        <f t="shared" si="61"/>
        <v>#DIV/0!</v>
      </c>
      <c r="R101" s="11">
        <f t="shared" si="62"/>
        <v>0</v>
      </c>
      <c r="U101" s="8"/>
      <c r="V101" s="20"/>
      <c r="W101" s="20"/>
      <c r="X101" s="20"/>
      <c r="Y101" s="20"/>
      <c r="Z101" s="20"/>
      <c r="AA101" s="20">
        <f>AA100*DL_OH!$W$63</f>
        <v>0.66113748708547682</v>
      </c>
      <c r="AB101" s="27">
        <f t="shared" si="63"/>
        <v>0.66113748708547682</v>
      </c>
      <c r="AC101" s="11" t="e">
        <f t="shared" si="64"/>
        <v>#DIV/0!</v>
      </c>
      <c r="AD101" s="11">
        <f t="shared" si="65"/>
        <v>1</v>
      </c>
    </row>
    <row r="102" spans="1:30" ht="25.5">
      <c r="A102" s="8"/>
      <c r="G102" s="4">
        <v>100</v>
      </c>
      <c r="H102" s="11" t="s">
        <v>418</v>
      </c>
      <c r="I102" s="11">
        <v>0.12</v>
      </c>
      <c r="J102" s="20"/>
      <c r="K102" s="20"/>
      <c r="L102" s="20"/>
      <c r="M102" s="20"/>
      <c r="N102" s="20"/>
      <c r="O102" s="20"/>
      <c r="P102" s="27" t="e">
        <f t="shared" si="60"/>
        <v>#DIV/0!</v>
      </c>
      <c r="Q102" s="11" t="e">
        <f t="shared" si="61"/>
        <v>#DIV/0!</v>
      </c>
      <c r="R102" s="11">
        <f t="shared" si="62"/>
        <v>0</v>
      </c>
      <c r="U102" s="8"/>
      <c r="V102" s="20"/>
      <c r="W102" s="20"/>
      <c r="X102" s="20"/>
      <c r="Y102" s="20"/>
      <c r="Z102" s="20"/>
      <c r="AA102" s="20">
        <f>AA100*DL_OH!$AA$63</f>
        <v>0.72454853313405942</v>
      </c>
      <c r="AB102" s="27">
        <f t="shared" si="63"/>
        <v>0.72454853313405942</v>
      </c>
      <c r="AC102" s="11" t="e">
        <f t="shared" si="64"/>
        <v>#DIV/0!</v>
      </c>
      <c r="AD102" s="11">
        <f t="shared" si="65"/>
        <v>1</v>
      </c>
    </row>
    <row r="103" spans="1:30">
      <c r="A103" s="8"/>
      <c r="P103" s="5"/>
      <c r="U103" s="8"/>
      <c r="AB103" s="5"/>
    </row>
    <row r="104" spans="1:30" ht="25.5">
      <c r="A104" s="8"/>
      <c r="B104" s="3" t="s">
        <v>413</v>
      </c>
      <c r="C104" s="3" t="s">
        <v>452</v>
      </c>
      <c r="D104" s="29" t="s">
        <v>460</v>
      </c>
      <c r="E104" s="3" t="s">
        <v>416</v>
      </c>
      <c r="F104" s="3" t="s">
        <v>70</v>
      </c>
      <c r="G104" s="4">
        <v>20</v>
      </c>
      <c r="H104" s="3" t="s">
        <v>417</v>
      </c>
      <c r="I104" s="17">
        <v>3.3</v>
      </c>
      <c r="P104" s="5" t="e">
        <f>AVERAGE(J104:O104)</f>
        <v>#DIV/0!</v>
      </c>
      <c r="Q104" s="3" t="e">
        <f>SQRT(VAR(J104:O104))</f>
        <v>#DIV/0!</v>
      </c>
      <c r="R104" s="3">
        <f>COUNT(J104:O104)</f>
        <v>0</v>
      </c>
      <c r="U104" s="8"/>
      <c r="AB104" s="5" t="e">
        <f>AVERAGE(V104:AA104)</f>
        <v>#DIV/0!</v>
      </c>
      <c r="AC104" s="3" t="e">
        <f>SQRT(VAR(V104:AA104))</f>
        <v>#DIV/0!</v>
      </c>
      <c r="AD104" s="3">
        <f>COUNT(V104:AA104)</f>
        <v>0</v>
      </c>
    </row>
    <row r="105" spans="1:30" ht="25.5">
      <c r="A105" s="8"/>
      <c r="D105" s="29"/>
      <c r="G105" s="4">
        <v>40</v>
      </c>
      <c r="H105" s="3" t="s">
        <v>417</v>
      </c>
      <c r="I105" s="17">
        <v>3.3</v>
      </c>
      <c r="P105" s="5" t="e">
        <f>AVERAGE(J105:O105)</f>
        <v>#DIV/0!</v>
      </c>
      <c r="Q105" s="3" t="e">
        <f>SQRT(VAR(J105:O105))</f>
        <v>#DIV/0!</v>
      </c>
      <c r="R105" s="3">
        <f>COUNT(J105:O105)</f>
        <v>0</v>
      </c>
      <c r="U105" s="8"/>
      <c r="AB105" s="5" t="e">
        <f>AVERAGE(V105:AA105)</f>
        <v>#DIV/0!</v>
      </c>
      <c r="AC105" s="3" t="e">
        <f>SQRT(VAR(V105:AA105))</f>
        <v>#DIV/0!</v>
      </c>
      <c r="AD105" s="3">
        <f>COUNT(V105:AA105)</f>
        <v>0</v>
      </c>
    </row>
    <row r="106" spans="1:30" ht="25.5">
      <c r="A106" s="8"/>
      <c r="G106" s="4">
        <v>20</v>
      </c>
      <c r="H106" s="11" t="s">
        <v>418</v>
      </c>
      <c r="I106" s="11">
        <v>0.12</v>
      </c>
      <c r="J106" s="20"/>
      <c r="K106" s="20"/>
      <c r="L106" s="20"/>
      <c r="M106" s="20"/>
      <c r="N106" s="20"/>
      <c r="O106" s="20"/>
      <c r="P106" s="27" t="e">
        <f>AVERAGE(J106:O106)</f>
        <v>#DIV/0!</v>
      </c>
      <c r="Q106" s="11" t="e">
        <f>SQRT(VAR(J106:O106))</f>
        <v>#DIV/0!</v>
      </c>
      <c r="R106" s="11">
        <f>COUNT(J106:O106)</f>
        <v>0</v>
      </c>
      <c r="U106" s="8"/>
      <c r="V106" s="20"/>
      <c r="W106" s="20"/>
      <c r="X106" s="20"/>
      <c r="Y106" s="20"/>
      <c r="Z106" s="20"/>
      <c r="AA106" s="20"/>
      <c r="AB106" s="27" t="e">
        <f>AVERAGE(V106:AA106)</f>
        <v>#DIV/0!</v>
      </c>
      <c r="AC106" s="11" t="e">
        <f>SQRT(VAR(V106:AA106))</f>
        <v>#DIV/0!</v>
      </c>
      <c r="AD106" s="11">
        <f>COUNT(V106:AA106)</f>
        <v>0</v>
      </c>
    </row>
    <row r="107" spans="1:30" ht="25.5">
      <c r="A107" s="8"/>
      <c r="G107" s="4">
        <v>40</v>
      </c>
      <c r="H107" s="11" t="s">
        <v>418</v>
      </c>
      <c r="I107" s="11">
        <v>0.12</v>
      </c>
      <c r="J107" s="20"/>
      <c r="K107" s="20"/>
      <c r="L107" s="20"/>
      <c r="M107" s="20"/>
      <c r="N107" s="20"/>
      <c r="O107" s="20"/>
      <c r="P107" s="27" t="e">
        <f>AVERAGE(J107:O107)</f>
        <v>#DIV/0!</v>
      </c>
      <c r="Q107" s="11" t="e">
        <f>SQRT(VAR(J107:O107))</f>
        <v>#DIV/0!</v>
      </c>
      <c r="R107" s="11">
        <f>COUNT(J107:O107)</f>
        <v>0</v>
      </c>
      <c r="U107" s="8"/>
      <c r="V107" s="20"/>
      <c r="W107" s="20"/>
      <c r="X107" s="20"/>
      <c r="Y107" s="20"/>
      <c r="Z107" s="20"/>
      <c r="AA107" s="20"/>
      <c r="AB107" s="27" t="e">
        <f>AVERAGE(V107:AA107)</f>
        <v>#DIV/0!</v>
      </c>
      <c r="AC107" s="11" t="e">
        <f>SQRT(VAR(V107:AA107))</f>
        <v>#DIV/0!</v>
      </c>
      <c r="AD107" s="11">
        <f>COUNT(V107:AA107)</f>
        <v>0</v>
      </c>
    </row>
    <row r="108" spans="1:30">
      <c r="A108" s="8"/>
      <c r="P108" s="5"/>
      <c r="U108" s="8"/>
      <c r="AB108" s="5"/>
    </row>
    <row r="109" spans="1:30" ht="25.5">
      <c r="A109" s="8"/>
      <c r="B109" s="3" t="s">
        <v>413</v>
      </c>
      <c r="C109" s="3" t="s">
        <v>456</v>
      </c>
      <c r="D109" s="29" t="s">
        <v>457</v>
      </c>
      <c r="E109" s="29" t="s">
        <v>429</v>
      </c>
      <c r="F109" s="29" t="s">
        <v>70</v>
      </c>
      <c r="G109" s="4">
        <v>20</v>
      </c>
      <c r="H109" s="3" t="s">
        <v>417</v>
      </c>
      <c r="I109" s="17">
        <v>3.3</v>
      </c>
      <c r="K109" s="2">
        <v>16.36</v>
      </c>
      <c r="O109" s="2">
        <f>DL_OH!S51*14.87</f>
        <v>14.445142857142857</v>
      </c>
      <c r="P109" s="5">
        <f t="shared" ref="P109:P114" si="66">AVERAGE(J109:O109)</f>
        <v>15.402571428571427</v>
      </c>
      <c r="Q109" s="3">
        <f t="shared" ref="Q109:Q114" si="67">SQRT(VAR(J109:O109))</f>
        <v>1.3540084707177831</v>
      </c>
      <c r="R109" s="3">
        <f t="shared" ref="R109:R114" si="68">COUNT(J109:O109)</f>
        <v>2</v>
      </c>
      <c r="U109" s="8"/>
      <c r="W109" s="2">
        <v>16.09</v>
      </c>
      <c r="Z109" s="2">
        <f>DL_OH!S51*14.8</f>
        <v>14.377142857142857</v>
      </c>
      <c r="AB109" s="5">
        <f t="shared" ref="AB109:AB114" si="69">AVERAGE(V109:AA109)</f>
        <v>15.233571428571429</v>
      </c>
      <c r="AC109" s="3">
        <f t="shared" ref="AC109:AC114" si="70">SQRT(VAR(V109:AA109))</f>
        <v>1.2111729009181005</v>
      </c>
      <c r="AD109" s="3">
        <f t="shared" ref="AD109:AD114" si="71">COUNT(V109:AA109)</f>
        <v>2</v>
      </c>
    </row>
    <row r="110" spans="1:30" ht="25.5">
      <c r="A110" s="8"/>
      <c r="D110" s="29"/>
      <c r="E110" s="29"/>
      <c r="F110" s="29"/>
      <c r="G110" s="4">
        <v>40</v>
      </c>
      <c r="H110" s="3" t="s">
        <v>417</v>
      </c>
      <c r="I110" s="17">
        <v>3.3</v>
      </c>
      <c r="K110" s="2">
        <f>K109*DL_OH!$W$53</f>
        <v>19.127130209740955</v>
      </c>
      <c r="O110" s="2">
        <f>O109*DL_OH!$W$51</f>
        <v>17.159179179419148</v>
      </c>
      <c r="P110" s="5">
        <f t="shared" si="66"/>
        <v>18.143154694580051</v>
      </c>
      <c r="Q110" s="3">
        <f t="shared" si="67"/>
        <v>1.3915515185836025</v>
      </c>
      <c r="R110" s="3">
        <f t="shared" si="68"/>
        <v>2</v>
      </c>
      <c r="U110" s="8"/>
      <c r="W110" s="2">
        <f>W109*DL_OH!$W$53</f>
        <v>18.811462412880928</v>
      </c>
      <c r="Z110" s="2">
        <f>Z109*DL_OH!$W$51</f>
        <v>17.078402949253761</v>
      </c>
      <c r="AB110" s="5">
        <f t="shared" si="69"/>
        <v>17.944932681067343</v>
      </c>
      <c r="AC110" s="3">
        <f t="shared" si="70"/>
        <v>1.225458098930291</v>
      </c>
      <c r="AD110" s="3">
        <f t="shared" si="71"/>
        <v>2</v>
      </c>
    </row>
    <row r="111" spans="1:30" ht="25.5">
      <c r="A111" s="8"/>
      <c r="D111" s="29"/>
      <c r="E111" s="29"/>
      <c r="F111" s="29"/>
      <c r="G111" s="4">
        <v>100</v>
      </c>
      <c r="H111" s="3" t="s">
        <v>417</v>
      </c>
      <c r="I111" s="17">
        <v>3.3</v>
      </c>
      <c r="K111" s="2">
        <f>K109*DL_OH!$AA$53</f>
        <v>21.009502272671433</v>
      </c>
      <c r="O111" s="2">
        <f>O109*DL_OH!$AA$51</f>
        <v>18.99531841552194</v>
      </c>
      <c r="P111" s="5">
        <f t="shared" si="66"/>
        <v>20.002410344096688</v>
      </c>
      <c r="Q111" s="3">
        <f t="shared" si="67"/>
        <v>1.4242430639468833</v>
      </c>
      <c r="R111" s="3">
        <f t="shared" si="68"/>
        <v>2</v>
      </c>
      <c r="U111" s="8"/>
      <c r="W111" s="2">
        <f>W109*DL_OH!$AA$53</f>
        <v>20.662768433208029</v>
      </c>
      <c r="Z111" s="2">
        <f>Z109*DL_OH!$AA$51</f>
        <v>18.905898624729303</v>
      </c>
      <c r="AB111" s="5">
        <f t="shared" si="69"/>
        <v>19.784333528968666</v>
      </c>
      <c r="AC111" s="3">
        <f t="shared" si="70"/>
        <v>1.242294555237218</v>
      </c>
      <c r="AD111" s="3">
        <f t="shared" si="71"/>
        <v>2</v>
      </c>
    </row>
    <row r="112" spans="1:30" ht="25.5">
      <c r="A112" s="8"/>
      <c r="G112" s="4">
        <v>20</v>
      </c>
      <c r="H112" s="11" t="s">
        <v>418</v>
      </c>
      <c r="I112" s="11">
        <v>0.12</v>
      </c>
      <c r="J112" s="20"/>
      <c r="K112" s="20">
        <v>0.55300000000000005</v>
      </c>
      <c r="L112" s="20"/>
      <c r="M112" s="20"/>
      <c r="N112" s="20"/>
      <c r="O112" s="20">
        <f>DL_OH!S51*0.634</f>
        <v>0.61588571428571426</v>
      </c>
      <c r="P112" s="27">
        <f t="shared" si="66"/>
        <v>0.58444285714285715</v>
      </c>
      <c r="Q112" s="11">
        <f t="shared" si="67"/>
        <v>4.4466915011188261E-2</v>
      </c>
      <c r="R112" s="11">
        <f t="shared" si="68"/>
        <v>2</v>
      </c>
      <c r="U112" s="246"/>
      <c r="V112" s="20"/>
      <c r="W112" s="20">
        <v>0.53100000000000003</v>
      </c>
      <c r="X112" s="20"/>
      <c r="Y112" s="20"/>
      <c r="Z112" s="20">
        <f>DL_OH!S51*0.573</f>
        <v>0.55662857142857136</v>
      </c>
      <c r="AA112" s="20"/>
      <c r="AB112" s="27">
        <f t="shared" si="69"/>
        <v>0.54381428571428569</v>
      </c>
      <c r="AC112" s="11">
        <f t="shared" si="70"/>
        <v>1.8122136649266592E-2</v>
      </c>
      <c r="AD112" s="11">
        <f t="shared" si="71"/>
        <v>2</v>
      </c>
    </row>
    <row r="113" spans="1:30" ht="25.5">
      <c r="A113" s="8"/>
      <c r="G113" s="4">
        <v>40</v>
      </c>
      <c r="H113" s="11" t="s">
        <v>418</v>
      </c>
      <c r="I113" s="11">
        <v>0.12</v>
      </c>
      <c r="J113" s="20"/>
      <c r="K113" s="20">
        <f>K112*DL_OH!$W$53</f>
        <v>0.6465344135688722</v>
      </c>
      <c r="L113" s="20"/>
      <c r="M113" s="20"/>
      <c r="N113" s="20"/>
      <c r="O113" s="20">
        <f>O112*DL_OH!$W$51</f>
        <v>0.73160185606938399</v>
      </c>
      <c r="P113" s="27">
        <f t="shared" si="66"/>
        <v>0.6890681348191281</v>
      </c>
      <c r="Q113" s="11">
        <f t="shared" si="67"/>
        <v>6.0151765450308606E-2</v>
      </c>
      <c r="R113" s="11">
        <f t="shared" si="68"/>
        <v>2</v>
      </c>
      <c r="U113" s="246"/>
      <c r="V113" s="20"/>
      <c r="W113" s="20">
        <f>W112*DL_OH!$W$53</f>
        <v>0.6208133338247217</v>
      </c>
      <c r="X113" s="20"/>
      <c r="Y113" s="20"/>
      <c r="Z113" s="20">
        <f>Z112*DL_OH!$W$51</f>
        <v>0.66121114121097324</v>
      </c>
      <c r="AA113" s="20"/>
      <c r="AB113" s="27">
        <f t="shared" si="69"/>
        <v>0.64101223751784753</v>
      </c>
      <c r="AC113" s="11">
        <f t="shared" si="70"/>
        <v>2.8565563547886461E-2</v>
      </c>
      <c r="AD113" s="11">
        <f t="shared" si="71"/>
        <v>2</v>
      </c>
    </row>
    <row r="114" spans="1:30" ht="25.5">
      <c r="A114" s="8"/>
      <c r="G114" s="4">
        <v>100</v>
      </c>
      <c r="H114" s="11" t="s">
        <v>418</v>
      </c>
      <c r="I114" s="11">
        <v>0.12</v>
      </c>
      <c r="J114" s="20"/>
      <c r="K114" s="20">
        <f>K112*DL_OH!$AA$53</f>
        <v>0.71016227119726794</v>
      </c>
      <c r="L114" s="20"/>
      <c r="M114" s="20"/>
      <c r="N114" s="20"/>
      <c r="O114" s="20">
        <f>O112*DL_OH!$AA$51</f>
        <v>0.8098878194647553</v>
      </c>
      <c r="P114" s="27">
        <f t="shared" si="66"/>
        <v>0.76002504533101156</v>
      </c>
      <c r="Q114" s="11">
        <f t="shared" si="67"/>
        <v>7.0516611437486665E-2</v>
      </c>
      <c r="R114" s="11">
        <f t="shared" si="68"/>
        <v>2</v>
      </c>
      <c r="U114" s="246"/>
      <c r="V114" s="20"/>
      <c r="W114" s="20">
        <f>W112*DL_OH!$AA$53</f>
        <v>0.68190988427802768</v>
      </c>
      <c r="X114" s="20"/>
      <c r="Y114" s="20"/>
      <c r="Z114" s="20">
        <f>Z112*DL_OH!$AA$51</f>
        <v>0.73196485891688445</v>
      </c>
      <c r="AA114" s="20"/>
      <c r="AB114" s="27">
        <f t="shared" si="69"/>
        <v>0.70693737159745607</v>
      </c>
      <c r="AC114" s="11">
        <f t="shared" si="70"/>
        <v>3.5394211999256284E-2</v>
      </c>
      <c r="AD114" s="11">
        <f t="shared" si="71"/>
        <v>2</v>
      </c>
    </row>
    <row r="115" spans="1:30">
      <c r="A115" s="8"/>
      <c r="P115" s="5"/>
      <c r="U115" s="246"/>
      <c r="AB115" s="5"/>
    </row>
    <row r="116" spans="1:30" ht="25.5">
      <c r="A116" s="8"/>
      <c r="B116" s="3" t="s">
        <v>413</v>
      </c>
      <c r="C116" s="3" t="s">
        <v>456</v>
      </c>
      <c r="D116" s="29" t="s">
        <v>457</v>
      </c>
      <c r="E116" s="29" t="s">
        <v>429</v>
      </c>
      <c r="F116" s="29" t="s">
        <v>69</v>
      </c>
      <c r="G116" s="4">
        <v>20</v>
      </c>
      <c r="H116" s="3" t="s">
        <v>417</v>
      </c>
      <c r="I116" s="17">
        <v>3.3</v>
      </c>
      <c r="P116" s="5" t="e">
        <f t="shared" ref="P116:P121" si="72">AVERAGE(J116:O116)</f>
        <v>#DIV/0!</v>
      </c>
      <c r="Q116" s="3" t="e">
        <f t="shared" ref="Q116:Q121" si="73">SQRT(VAR(J116:O116))</f>
        <v>#DIV/0!</v>
      </c>
      <c r="R116" s="3">
        <f t="shared" ref="R116:R121" si="74">COUNT(J116:O116)</f>
        <v>0</v>
      </c>
      <c r="U116" s="246"/>
      <c r="Z116" s="2">
        <f>DL_OH!S61*14.8</f>
        <v>14.520754716981136</v>
      </c>
      <c r="AB116" s="5">
        <f t="shared" ref="AB116:AB121" si="75">AVERAGE(V116:AA116)</f>
        <v>14.520754716981136</v>
      </c>
      <c r="AC116" s="3" t="e">
        <f t="shared" ref="AC116:AC121" si="76">SQRT(VAR(V116:AA116))</f>
        <v>#DIV/0!</v>
      </c>
      <c r="AD116" s="3">
        <f t="shared" ref="AD116:AD128" si="77">COUNT(V116:AA116)</f>
        <v>1</v>
      </c>
    </row>
    <row r="117" spans="1:30" ht="25.5">
      <c r="A117" s="8"/>
      <c r="D117" s="29"/>
      <c r="E117" s="29"/>
      <c r="F117" s="29"/>
      <c r="G117" s="4">
        <v>40</v>
      </c>
      <c r="H117" s="3" t="s">
        <v>417</v>
      </c>
      <c r="I117" s="17">
        <v>3.3</v>
      </c>
      <c r="P117" s="5" t="e">
        <f t="shared" si="72"/>
        <v>#DIV/0!</v>
      </c>
      <c r="Q117" s="3" t="e">
        <f t="shared" si="73"/>
        <v>#DIV/0!</v>
      </c>
      <c r="R117" s="3">
        <f t="shared" si="74"/>
        <v>0</v>
      </c>
      <c r="U117" s="246"/>
      <c r="Z117" s="2">
        <f>Z116*DL_OH!$W$61</f>
        <v>16.903323619330269</v>
      </c>
      <c r="AB117" s="5">
        <f t="shared" si="75"/>
        <v>16.903323619330269</v>
      </c>
      <c r="AC117" s="3" t="e">
        <f t="shared" si="76"/>
        <v>#DIV/0!</v>
      </c>
      <c r="AD117" s="3">
        <f t="shared" si="77"/>
        <v>1</v>
      </c>
    </row>
    <row r="118" spans="1:30" ht="25.5">
      <c r="A118" s="8"/>
      <c r="D118" s="29"/>
      <c r="E118" s="29"/>
      <c r="F118" s="29"/>
      <c r="G118" s="4">
        <v>100</v>
      </c>
      <c r="H118" s="3" t="s">
        <v>417</v>
      </c>
      <c r="I118" s="17">
        <v>3.3</v>
      </c>
      <c r="P118" s="5" t="e">
        <f t="shared" si="72"/>
        <v>#DIV/0!</v>
      </c>
      <c r="Q118" s="3" t="e">
        <f t="shared" si="73"/>
        <v>#DIV/0!</v>
      </c>
      <c r="R118" s="3">
        <f t="shared" si="74"/>
        <v>0</v>
      </c>
      <c r="U118" s="246"/>
      <c r="Z118" s="2">
        <f>Z116*DL_OH!$AA$61</f>
        <v>18.527260775948587</v>
      </c>
      <c r="AB118" s="5">
        <f t="shared" si="75"/>
        <v>18.527260775948587</v>
      </c>
      <c r="AC118" s="3" t="e">
        <f t="shared" si="76"/>
        <v>#DIV/0!</v>
      </c>
      <c r="AD118" s="3">
        <f t="shared" si="77"/>
        <v>1</v>
      </c>
    </row>
    <row r="119" spans="1:30" ht="25.5">
      <c r="A119" s="8"/>
      <c r="G119" s="4">
        <v>20</v>
      </c>
      <c r="H119" s="11" t="s">
        <v>418</v>
      </c>
      <c r="I119" s="11">
        <v>0.12</v>
      </c>
      <c r="J119" s="20"/>
      <c r="K119" s="20"/>
      <c r="L119" s="20"/>
      <c r="M119" s="20"/>
      <c r="N119" s="20"/>
      <c r="O119" s="20"/>
      <c r="P119" s="27" t="e">
        <f t="shared" si="72"/>
        <v>#DIV/0!</v>
      </c>
      <c r="Q119" s="11" t="e">
        <f t="shared" si="73"/>
        <v>#DIV/0!</v>
      </c>
      <c r="R119" s="11">
        <f t="shared" si="74"/>
        <v>0</v>
      </c>
      <c r="U119" s="246"/>
      <c r="V119" s="20"/>
      <c r="W119" s="20"/>
      <c r="X119" s="20"/>
      <c r="Y119" s="20"/>
      <c r="Z119" s="20">
        <f>DL_OH!S61*0.5</f>
        <v>0.49056603773584917</v>
      </c>
      <c r="AA119" s="20"/>
      <c r="AB119" s="27">
        <f t="shared" si="75"/>
        <v>0.49056603773584917</v>
      </c>
      <c r="AC119" s="11" t="e">
        <f t="shared" si="76"/>
        <v>#DIV/0!</v>
      </c>
      <c r="AD119" s="11">
        <f t="shared" si="77"/>
        <v>1</v>
      </c>
    </row>
    <row r="120" spans="1:30" ht="25.5">
      <c r="A120" s="8"/>
      <c r="G120" s="4">
        <v>40</v>
      </c>
      <c r="H120" s="11" t="s">
        <v>418</v>
      </c>
      <c r="I120" s="11">
        <v>0.12</v>
      </c>
      <c r="J120" s="20"/>
      <c r="K120" s="20"/>
      <c r="L120" s="20"/>
      <c r="M120" s="20"/>
      <c r="N120" s="20"/>
      <c r="O120" s="20"/>
      <c r="P120" s="27" t="e">
        <f t="shared" si="72"/>
        <v>#DIV/0!</v>
      </c>
      <c r="Q120" s="11" t="e">
        <f t="shared" si="73"/>
        <v>#DIV/0!</v>
      </c>
      <c r="R120" s="11">
        <f t="shared" si="74"/>
        <v>0</v>
      </c>
      <c r="U120" s="246"/>
      <c r="V120" s="20"/>
      <c r="W120" s="20"/>
      <c r="X120" s="20"/>
      <c r="Y120" s="20"/>
      <c r="Z120" s="20">
        <f>Z119*DL_OH!$W$61</f>
        <v>0.57105823038277936</v>
      </c>
      <c r="AA120" s="20"/>
      <c r="AB120" s="27">
        <f t="shared" si="75"/>
        <v>0.57105823038277936</v>
      </c>
      <c r="AC120" s="11" t="e">
        <f t="shared" si="76"/>
        <v>#DIV/0!</v>
      </c>
      <c r="AD120" s="11">
        <f t="shared" si="77"/>
        <v>1</v>
      </c>
    </row>
    <row r="121" spans="1:30" ht="25.5">
      <c r="A121" s="8"/>
      <c r="G121" s="4">
        <v>100</v>
      </c>
      <c r="H121" s="11" t="s">
        <v>418</v>
      </c>
      <c r="I121" s="11">
        <v>0.12</v>
      </c>
      <c r="J121" s="20"/>
      <c r="K121" s="20"/>
      <c r="L121" s="20"/>
      <c r="M121" s="20"/>
      <c r="N121" s="20"/>
      <c r="O121" s="20"/>
      <c r="P121" s="27" t="e">
        <f t="shared" si="72"/>
        <v>#DIV/0!</v>
      </c>
      <c r="Q121" s="11" t="e">
        <f t="shared" si="73"/>
        <v>#DIV/0!</v>
      </c>
      <c r="R121" s="11">
        <f t="shared" si="74"/>
        <v>0</v>
      </c>
      <c r="U121" s="246"/>
      <c r="V121" s="20"/>
      <c r="W121" s="20"/>
      <c r="X121" s="20"/>
      <c r="Y121" s="20"/>
      <c r="Z121" s="20">
        <f>Z119*DL_OH!$AA$61</f>
        <v>0.62592097216042519</v>
      </c>
      <c r="AA121" s="20"/>
      <c r="AB121" s="27">
        <f t="shared" si="75"/>
        <v>0.62592097216042519</v>
      </c>
      <c r="AC121" s="11" t="e">
        <f t="shared" si="76"/>
        <v>#DIV/0!</v>
      </c>
      <c r="AD121" s="11">
        <f t="shared" si="77"/>
        <v>1</v>
      </c>
    </row>
    <row r="122" spans="1:30">
      <c r="A122" s="8"/>
      <c r="P122" s="5"/>
      <c r="U122" s="246"/>
      <c r="AB122" s="5"/>
      <c r="AD122" s="3">
        <f t="shared" si="77"/>
        <v>0</v>
      </c>
    </row>
    <row r="123" spans="1:30" ht="25.5">
      <c r="A123" s="8"/>
      <c r="B123" s="36" t="s">
        <v>413</v>
      </c>
      <c r="C123" s="3" t="s">
        <v>461</v>
      </c>
      <c r="D123" s="36" t="s">
        <v>462</v>
      </c>
      <c r="E123" s="36" t="s">
        <v>429</v>
      </c>
      <c r="F123" s="36" t="s">
        <v>72</v>
      </c>
      <c r="G123" s="4">
        <v>20</v>
      </c>
      <c r="H123" s="3" t="s">
        <v>417</v>
      </c>
      <c r="I123" s="17">
        <v>3.3</v>
      </c>
      <c r="P123" s="5" t="e">
        <f t="shared" ref="P123:P128" si="78">AVERAGE(J123:O123)</f>
        <v>#DIV/0!</v>
      </c>
      <c r="Q123" s="3" t="e">
        <f t="shared" ref="Q123:Q128" si="79">SQRT(VAR(J123:O123))</f>
        <v>#DIV/0!</v>
      </c>
      <c r="R123" s="3">
        <f t="shared" ref="R123:R128" si="80">COUNT(J123:O123)</f>
        <v>0</v>
      </c>
      <c r="U123" s="246"/>
      <c r="AB123" s="5" t="e">
        <f t="shared" ref="AB123:AB128" si="81">AVERAGE(V123:AA123)</f>
        <v>#DIV/0!</v>
      </c>
      <c r="AC123" s="3" t="e">
        <f t="shared" ref="AC123:AC128" si="82">SQRT(VAR(V123:AA123))</f>
        <v>#DIV/0!</v>
      </c>
      <c r="AD123" s="3">
        <f t="shared" si="77"/>
        <v>0</v>
      </c>
    </row>
    <row r="124" spans="1:30" ht="25.5">
      <c r="A124" s="8"/>
      <c r="B124" s="36"/>
      <c r="D124" s="36"/>
      <c r="E124" s="36"/>
      <c r="F124" s="36"/>
      <c r="G124" s="4">
        <v>40</v>
      </c>
      <c r="H124" s="3" t="s">
        <v>417</v>
      </c>
      <c r="I124" s="17">
        <v>3.3</v>
      </c>
      <c r="P124" s="5" t="e">
        <f t="shared" si="78"/>
        <v>#DIV/0!</v>
      </c>
      <c r="Q124" s="3" t="e">
        <f t="shared" si="79"/>
        <v>#DIV/0!</v>
      </c>
      <c r="R124" s="3">
        <f t="shared" si="80"/>
        <v>0</v>
      </c>
      <c r="U124" s="8"/>
      <c r="AB124" s="5" t="e">
        <f t="shared" si="81"/>
        <v>#DIV/0!</v>
      </c>
      <c r="AC124" s="3" t="e">
        <f t="shared" si="82"/>
        <v>#DIV/0!</v>
      </c>
      <c r="AD124" s="3">
        <f t="shared" si="77"/>
        <v>0</v>
      </c>
    </row>
    <row r="125" spans="1:30" ht="25.5">
      <c r="A125" s="8"/>
      <c r="B125" s="36"/>
      <c r="D125" s="36"/>
      <c r="E125" s="36"/>
      <c r="F125" s="36"/>
      <c r="G125" s="4">
        <v>100</v>
      </c>
      <c r="H125" s="3" t="s">
        <v>417</v>
      </c>
      <c r="I125" s="17">
        <v>3.3</v>
      </c>
      <c r="P125" s="5" t="e">
        <f t="shared" si="78"/>
        <v>#DIV/0!</v>
      </c>
      <c r="Q125" s="3" t="e">
        <f t="shared" si="79"/>
        <v>#DIV/0!</v>
      </c>
      <c r="R125" s="3">
        <f t="shared" si="80"/>
        <v>0</v>
      </c>
      <c r="U125" s="8"/>
      <c r="AB125" s="5" t="e">
        <f t="shared" si="81"/>
        <v>#DIV/0!</v>
      </c>
      <c r="AC125" s="3" t="e">
        <f t="shared" si="82"/>
        <v>#DIV/0!</v>
      </c>
      <c r="AD125" s="3">
        <f t="shared" si="77"/>
        <v>0</v>
      </c>
    </row>
    <row r="126" spans="1:30" ht="25.5">
      <c r="A126" s="8"/>
      <c r="G126" s="4">
        <v>20</v>
      </c>
      <c r="H126" s="11" t="s">
        <v>418</v>
      </c>
      <c r="I126" s="11">
        <v>0.12</v>
      </c>
      <c r="J126" s="20"/>
      <c r="K126" s="20"/>
      <c r="L126" s="20"/>
      <c r="M126" s="20"/>
      <c r="N126" s="20"/>
      <c r="O126" s="20"/>
      <c r="P126" s="27" t="e">
        <f t="shared" si="78"/>
        <v>#DIV/0!</v>
      </c>
      <c r="Q126" s="11" t="e">
        <f t="shared" si="79"/>
        <v>#DIV/0!</v>
      </c>
      <c r="R126" s="11">
        <f t="shared" si="80"/>
        <v>0</v>
      </c>
      <c r="U126" s="8"/>
      <c r="V126" s="20"/>
      <c r="W126" s="20"/>
      <c r="X126" s="20"/>
      <c r="Y126" s="20"/>
      <c r="Z126" s="20"/>
      <c r="AA126" s="20"/>
      <c r="AB126" s="27" t="e">
        <f t="shared" si="81"/>
        <v>#DIV/0!</v>
      </c>
      <c r="AC126" s="11" t="e">
        <f t="shared" si="82"/>
        <v>#DIV/0!</v>
      </c>
      <c r="AD126" s="11">
        <f t="shared" si="77"/>
        <v>0</v>
      </c>
    </row>
    <row r="127" spans="1:30" ht="25.5">
      <c r="A127" s="8"/>
      <c r="G127" s="4">
        <v>40</v>
      </c>
      <c r="H127" s="11" t="s">
        <v>418</v>
      </c>
      <c r="I127" s="11">
        <v>0.12</v>
      </c>
      <c r="J127" s="20"/>
      <c r="K127" s="20"/>
      <c r="L127" s="20"/>
      <c r="M127" s="20"/>
      <c r="N127" s="20"/>
      <c r="O127" s="20"/>
      <c r="P127" s="27" t="e">
        <f t="shared" si="78"/>
        <v>#DIV/0!</v>
      </c>
      <c r="Q127" s="11" t="e">
        <f t="shared" si="79"/>
        <v>#DIV/0!</v>
      </c>
      <c r="R127" s="11">
        <f t="shared" si="80"/>
        <v>0</v>
      </c>
      <c r="U127" s="8"/>
      <c r="V127" s="20"/>
      <c r="W127" s="20"/>
      <c r="X127" s="20"/>
      <c r="Y127" s="20"/>
      <c r="Z127" s="20"/>
      <c r="AA127" s="20"/>
      <c r="AB127" s="27" t="e">
        <f t="shared" si="81"/>
        <v>#DIV/0!</v>
      </c>
      <c r="AC127" s="11" t="e">
        <f t="shared" si="82"/>
        <v>#DIV/0!</v>
      </c>
      <c r="AD127" s="11">
        <f t="shared" si="77"/>
        <v>0</v>
      </c>
    </row>
    <row r="128" spans="1:30" ht="25.5">
      <c r="A128" s="8"/>
      <c r="G128" s="4">
        <v>100</v>
      </c>
      <c r="H128" s="11" t="s">
        <v>418</v>
      </c>
      <c r="I128" s="11">
        <v>0.12</v>
      </c>
      <c r="J128" s="20"/>
      <c r="K128" s="20"/>
      <c r="L128" s="20"/>
      <c r="M128" s="20"/>
      <c r="N128" s="20"/>
      <c r="O128" s="20"/>
      <c r="P128" s="27" t="e">
        <f t="shared" si="78"/>
        <v>#DIV/0!</v>
      </c>
      <c r="Q128" s="11" t="e">
        <f t="shared" si="79"/>
        <v>#DIV/0!</v>
      </c>
      <c r="R128" s="11">
        <f t="shared" si="80"/>
        <v>0</v>
      </c>
      <c r="U128" s="8"/>
      <c r="V128" s="20"/>
      <c r="W128" s="20"/>
      <c r="X128" s="20"/>
      <c r="Y128" s="20"/>
      <c r="Z128" s="20"/>
      <c r="AA128" s="20"/>
      <c r="AB128" s="27" t="e">
        <f t="shared" si="81"/>
        <v>#DIV/0!</v>
      </c>
      <c r="AC128" s="11" t="e">
        <f t="shared" si="82"/>
        <v>#DIV/0!</v>
      </c>
      <c r="AD128" s="11">
        <f t="shared" si="77"/>
        <v>0</v>
      </c>
    </row>
    <row r="129" spans="1:30">
      <c r="A129" s="8"/>
      <c r="P129" s="5"/>
      <c r="AB129" s="5"/>
    </row>
    <row r="130" spans="1:30" ht="12.75" customHeight="1">
      <c r="A130" s="244" t="s">
        <v>432</v>
      </c>
      <c r="B130" s="9" t="s">
        <v>49</v>
      </c>
      <c r="C130" s="9"/>
      <c r="D130" s="9" t="s">
        <v>49</v>
      </c>
      <c r="E130" s="9"/>
      <c r="F130" s="9"/>
      <c r="G130" s="10"/>
      <c r="H130" s="13"/>
      <c r="I130" s="13"/>
      <c r="J130" s="16"/>
      <c r="K130" s="16"/>
      <c r="L130" s="16"/>
      <c r="M130" s="16"/>
      <c r="N130" s="16"/>
      <c r="O130" s="16"/>
      <c r="P130" s="26"/>
      <c r="Q130" s="13"/>
      <c r="R130" s="13"/>
      <c r="U130" s="244" t="s">
        <v>432</v>
      </c>
      <c r="V130" s="16"/>
      <c r="W130" s="16"/>
      <c r="X130" s="16"/>
      <c r="Y130" s="16"/>
      <c r="Z130" s="16"/>
      <c r="AA130" s="16"/>
      <c r="AB130" s="26"/>
      <c r="AC130" s="13"/>
      <c r="AD130" s="13"/>
    </row>
    <row r="131" spans="1:30" ht="25.5">
      <c r="A131" s="244"/>
      <c r="B131" s="3" t="s">
        <v>413</v>
      </c>
      <c r="C131" s="3" t="s">
        <v>441</v>
      </c>
      <c r="D131" s="3" t="s">
        <v>463</v>
      </c>
      <c r="E131" s="3" t="s">
        <v>416</v>
      </c>
      <c r="H131" s="3" t="s">
        <v>417</v>
      </c>
      <c r="I131" s="17">
        <v>1.6</v>
      </c>
      <c r="J131" s="2">
        <f>UL_OH!R9*4.253</f>
        <v>4.3643305600649347</v>
      </c>
      <c r="P131" s="5">
        <f>AVERAGE(J131:O131)</f>
        <v>4.3643305600649347</v>
      </c>
      <c r="Q131" s="3" t="e">
        <f>SQRT(VAR(J131:O131))</f>
        <v>#DIV/0!</v>
      </c>
      <c r="R131" s="3">
        <f>COUNT(J131:O131)</f>
        <v>1</v>
      </c>
      <c r="U131" s="244"/>
      <c r="V131" s="2">
        <f>UL_OH!R9*4.161</f>
        <v>4.2699222808441553</v>
      </c>
      <c r="AB131" s="5">
        <f>AVERAGE(V131:AA131)</f>
        <v>4.2699222808441553</v>
      </c>
      <c r="AC131" s="3" t="e">
        <f>SQRT(VAR(V131:AA131))</f>
        <v>#DIV/0!</v>
      </c>
      <c r="AD131" s="3">
        <f>COUNT(V131:AA131)</f>
        <v>1</v>
      </c>
    </row>
    <row r="132" spans="1:30" ht="25.5">
      <c r="A132" s="244"/>
      <c r="H132" s="11" t="s">
        <v>418</v>
      </c>
      <c r="I132" s="11">
        <v>4.4999999999999998E-2</v>
      </c>
      <c r="J132" s="20">
        <f>UL_OH!R9*0.163</f>
        <v>0.16726684253246754</v>
      </c>
      <c r="K132" s="20"/>
      <c r="L132" s="20"/>
      <c r="M132" s="20"/>
      <c r="N132" s="20"/>
      <c r="O132" s="20"/>
      <c r="P132" s="27">
        <f>AVERAGE(J132:O132)</f>
        <v>0.16726684253246754</v>
      </c>
      <c r="Q132" s="11" t="e">
        <f>SQRT(VAR(J132:O132))</f>
        <v>#DIV/0!</v>
      </c>
      <c r="R132" s="11">
        <f>COUNT(J132:O132)</f>
        <v>1</v>
      </c>
      <c r="U132" s="244"/>
      <c r="V132" s="21">
        <f>UL_OH!R9*0.142</f>
        <v>0.1457171266233766</v>
      </c>
      <c r="W132" s="20"/>
      <c r="X132" s="20"/>
      <c r="Y132" s="20"/>
      <c r="Z132" s="20"/>
      <c r="AA132" s="20"/>
      <c r="AB132" s="27">
        <f>AVERAGE(V132:AA132)</f>
        <v>0.1457171266233766</v>
      </c>
      <c r="AC132" s="11" t="e">
        <f>SQRT(VAR(V132:AA132))</f>
        <v>#DIV/0!</v>
      </c>
      <c r="AD132" s="11">
        <f>COUNT(V132:AA132)</f>
        <v>1</v>
      </c>
    </row>
    <row r="133" spans="1:30">
      <c r="A133" s="244"/>
      <c r="P133" s="5"/>
      <c r="U133" s="244"/>
      <c r="V133" s="18"/>
      <c r="AB133" s="5"/>
    </row>
    <row r="134" spans="1:30" ht="25.5">
      <c r="A134" s="244"/>
      <c r="B134" s="3" t="s">
        <v>413</v>
      </c>
      <c r="C134" s="3" t="s">
        <v>441</v>
      </c>
      <c r="D134" s="3" t="s">
        <v>464</v>
      </c>
      <c r="E134" s="3" t="s">
        <v>416</v>
      </c>
      <c r="H134" s="3" t="s">
        <v>417</v>
      </c>
      <c r="I134" s="17">
        <v>1.6</v>
      </c>
      <c r="J134" s="2">
        <f>UL_OH!R9*7.498</f>
        <v>7.694274756493507</v>
      </c>
      <c r="P134" s="5">
        <f>AVERAGE(J134:O134)</f>
        <v>7.694274756493507</v>
      </c>
      <c r="Q134" s="3" t="e">
        <f>SQRT(VAR(J134:O134))</f>
        <v>#DIV/0!</v>
      </c>
      <c r="R134" s="3">
        <f>COUNT(J134:O134)</f>
        <v>1</v>
      </c>
      <c r="U134" s="244"/>
      <c r="V134" s="2">
        <f>UL_OH!R9*7.364</f>
        <v>7.5567670454545448</v>
      </c>
      <c r="AB134" s="5">
        <f>AVERAGE(V134:AA134)</f>
        <v>7.5567670454545448</v>
      </c>
      <c r="AC134" s="3" t="e">
        <f>SQRT(VAR(V134:AA134))</f>
        <v>#DIV/0!</v>
      </c>
      <c r="AD134" s="3">
        <f>COUNT(V134:AA134)</f>
        <v>1</v>
      </c>
    </row>
    <row r="135" spans="1:30" ht="25.5">
      <c r="A135" s="244"/>
      <c r="H135" s="11" t="s">
        <v>418</v>
      </c>
      <c r="I135" s="11">
        <v>4.4999999999999998E-2</v>
      </c>
      <c r="J135" s="20">
        <f>UL_OH!R9*0.253</f>
        <v>0.25962276785714283</v>
      </c>
      <c r="K135" s="20"/>
      <c r="L135" s="20"/>
      <c r="M135" s="20"/>
      <c r="N135" s="20"/>
      <c r="O135" s="20"/>
      <c r="P135" s="27">
        <f>AVERAGE(J135:O135)</f>
        <v>0.25962276785714283</v>
      </c>
      <c r="Q135" s="11" t="e">
        <f>SQRT(VAR(J135:O135))</f>
        <v>#DIV/0!</v>
      </c>
      <c r="R135" s="11">
        <f>COUNT(J135:O135)</f>
        <v>1</v>
      </c>
      <c r="U135" s="244"/>
      <c r="V135" s="21">
        <f>UL_OH!R9*0.209</f>
        <v>0.21447098214285712</v>
      </c>
      <c r="W135" s="20"/>
      <c r="X135" s="20"/>
      <c r="Y135" s="20"/>
      <c r="Z135" s="20"/>
      <c r="AA135" s="20"/>
      <c r="AB135" s="190">
        <f>AVERAGE(V135:AA135)</f>
        <v>0.21447098214285712</v>
      </c>
      <c r="AC135" s="191" t="e">
        <f>SQRT(VAR(V135:AA135))</f>
        <v>#DIV/0!</v>
      </c>
      <c r="AD135" s="191">
        <f>COUNT(V135:AA135)</f>
        <v>1</v>
      </c>
    </row>
    <row r="136" spans="1:30">
      <c r="A136" s="244"/>
      <c r="P136" s="5"/>
      <c r="U136" s="244"/>
      <c r="V136" s="18"/>
      <c r="AB136" s="5"/>
    </row>
    <row r="137" spans="1:30" ht="25.5">
      <c r="A137" s="244"/>
      <c r="B137" s="3" t="s">
        <v>413</v>
      </c>
      <c r="C137" s="3" t="s">
        <v>452</v>
      </c>
      <c r="D137" s="3" t="s">
        <v>465</v>
      </c>
      <c r="E137" s="3" t="s">
        <v>416</v>
      </c>
      <c r="H137" s="3" t="s">
        <v>417</v>
      </c>
      <c r="I137" s="17">
        <v>1.6</v>
      </c>
      <c r="P137" s="5" t="e">
        <f>AVERAGE(J137:O137)</f>
        <v>#DIV/0!</v>
      </c>
      <c r="Q137" s="3" t="e">
        <f>SQRT(VAR(J137:O137))</f>
        <v>#DIV/0!</v>
      </c>
      <c r="R137" s="3">
        <f>COUNT(J137:O137)</f>
        <v>0</v>
      </c>
      <c r="U137" s="244"/>
      <c r="V137" s="18"/>
      <c r="AB137" s="5" t="e">
        <f>AVERAGE(V137:AA137)</f>
        <v>#DIV/0!</v>
      </c>
      <c r="AC137" s="3" t="e">
        <f>SQRT(VAR(V137:AA137))</f>
        <v>#DIV/0!</v>
      </c>
      <c r="AD137" s="3">
        <f>COUNT(V137:AA137)</f>
        <v>0</v>
      </c>
    </row>
    <row r="138" spans="1:30" ht="25.5">
      <c r="A138" s="244"/>
      <c r="H138" s="11" t="s">
        <v>418</v>
      </c>
      <c r="I138" s="11">
        <v>4.4999999999999998E-2</v>
      </c>
      <c r="J138" s="20"/>
      <c r="K138" s="20"/>
      <c r="L138" s="20"/>
      <c r="M138" s="20"/>
      <c r="N138" s="20"/>
      <c r="O138" s="20"/>
      <c r="P138" s="27" t="e">
        <f>AVERAGE(J138:O138)</f>
        <v>#DIV/0!</v>
      </c>
      <c r="Q138" s="11" t="e">
        <f>SQRT(VAR(J138:O138))</f>
        <v>#DIV/0!</v>
      </c>
      <c r="R138" s="11">
        <f>COUNT(J138:O138)</f>
        <v>0</v>
      </c>
      <c r="U138" s="244"/>
      <c r="V138" s="21"/>
      <c r="W138" s="20"/>
      <c r="X138" s="20"/>
      <c r="Y138" s="20"/>
      <c r="Z138" s="20"/>
      <c r="AA138" s="20"/>
      <c r="AB138" s="27" t="e">
        <f>AVERAGE(V138:AA138)</f>
        <v>#DIV/0!</v>
      </c>
      <c r="AC138" s="11" t="e">
        <f>SQRT(VAR(V138:AA138))</f>
        <v>#DIV/0!</v>
      </c>
      <c r="AD138" s="11">
        <f>COUNT(V138:AA138)</f>
        <v>0</v>
      </c>
    </row>
    <row r="139" spans="1:30">
      <c r="A139" s="244"/>
      <c r="P139" s="5"/>
      <c r="U139" s="244"/>
      <c r="AB139" s="5"/>
    </row>
    <row r="140" spans="1:30" ht="25.5">
      <c r="A140" s="244"/>
      <c r="B140" s="3" t="s">
        <v>413</v>
      </c>
      <c r="C140" s="3" t="s">
        <v>441</v>
      </c>
      <c r="D140" s="3" t="s">
        <v>466</v>
      </c>
      <c r="E140" s="3" t="s">
        <v>416</v>
      </c>
      <c r="H140" s="3" t="s">
        <v>417</v>
      </c>
      <c r="I140" s="17">
        <v>1.6</v>
      </c>
      <c r="P140" s="5" t="e">
        <f>AVERAGE(J140:O140)</f>
        <v>#DIV/0!</v>
      </c>
      <c r="Q140" s="3" t="e">
        <f>SQRT(VAR(J140:O140))</f>
        <v>#DIV/0!</v>
      </c>
      <c r="R140" s="3">
        <f>COUNT(J140:O140)</f>
        <v>0</v>
      </c>
      <c r="U140" s="244"/>
      <c r="AB140" s="5" t="e">
        <f>AVERAGE(V140:AA140)</f>
        <v>#DIV/0!</v>
      </c>
      <c r="AC140" s="3" t="e">
        <f>SQRT(VAR(V140:AA140))</f>
        <v>#DIV/0!</v>
      </c>
      <c r="AD140" s="3">
        <f>COUNT(V140:AA140)</f>
        <v>0</v>
      </c>
    </row>
    <row r="141" spans="1:30" ht="25.5">
      <c r="A141" s="244"/>
      <c r="H141" s="11" t="s">
        <v>418</v>
      </c>
      <c r="I141" s="11">
        <v>4.4999999999999998E-2</v>
      </c>
      <c r="J141" s="20"/>
      <c r="K141" s="20"/>
      <c r="L141" s="20"/>
      <c r="M141" s="20"/>
      <c r="N141" s="20"/>
      <c r="O141" s="20"/>
      <c r="P141" s="27" t="e">
        <f>AVERAGE(J141:O141)</f>
        <v>#DIV/0!</v>
      </c>
      <c r="Q141" s="11" t="e">
        <f>SQRT(VAR(J141:O141))</f>
        <v>#DIV/0!</v>
      </c>
      <c r="R141" s="11">
        <f>COUNT(J141:O141)</f>
        <v>0</v>
      </c>
      <c r="U141" s="244"/>
      <c r="V141" s="21"/>
      <c r="W141" s="20"/>
      <c r="X141" s="20"/>
      <c r="Y141" s="20"/>
      <c r="Z141" s="20"/>
      <c r="AA141" s="20"/>
      <c r="AB141" s="27" t="e">
        <f>AVERAGE(V141:AA141)</f>
        <v>#DIV/0!</v>
      </c>
      <c r="AC141" s="11" t="e">
        <f>SQRT(VAR(V141:AA141))</f>
        <v>#DIV/0!</v>
      </c>
      <c r="AD141" s="11">
        <f>COUNT(V141:AA141)</f>
        <v>0</v>
      </c>
    </row>
    <row r="142" spans="1:30">
      <c r="A142" s="244"/>
      <c r="P142" s="5"/>
      <c r="U142" s="244"/>
      <c r="V142" s="18"/>
      <c r="AB142" s="5"/>
    </row>
    <row r="143" spans="1:30" ht="25.5">
      <c r="A143" s="244"/>
      <c r="B143" s="3" t="s">
        <v>413</v>
      </c>
      <c r="C143" s="3" t="s">
        <v>445</v>
      </c>
      <c r="D143" s="3" t="s">
        <v>467</v>
      </c>
      <c r="E143" s="3" t="s">
        <v>416</v>
      </c>
      <c r="H143" s="3" t="s">
        <v>417</v>
      </c>
      <c r="I143" s="17">
        <v>1.6</v>
      </c>
      <c r="P143" s="5" t="e">
        <f>AVERAGE(J143:O143)</f>
        <v>#DIV/0!</v>
      </c>
      <c r="Q143" s="3" t="e">
        <f>SQRT(VAR(J143:O143))</f>
        <v>#DIV/0!</v>
      </c>
      <c r="R143" s="3">
        <f>COUNT(J143:O143)</f>
        <v>0</v>
      </c>
      <c r="U143" s="244"/>
      <c r="V143" s="19"/>
      <c r="AB143" s="5" t="e">
        <f>AVERAGE(V143:AA143)</f>
        <v>#DIV/0!</v>
      </c>
      <c r="AC143" s="3" t="e">
        <f>SQRT(VAR(V143:AA143))</f>
        <v>#DIV/0!</v>
      </c>
      <c r="AD143" s="3">
        <f>COUNT(V143:AA143)</f>
        <v>0</v>
      </c>
    </row>
    <row r="144" spans="1:30" ht="25.5">
      <c r="A144" s="244"/>
      <c r="H144" s="11" t="s">
        <v>418</v>
      </c>
      <c r="I144" s="11">
        <v>4.4999999999999998E-2</v>
      </c>
      <c r="J144" s="20"/>
      <c r="K144" s="20"/>
      <c r="L144" s="20"/>
      <c r="M144" s="20"/>
      <c r="N144" s="20"/>
      <c r="O144" s="20"/>
      <c r="P144" s="27" t="e">
        <f>AVERAGE(J144:O144)</f>
        <v>#DIV/0!</v>
      </c>
      <c r="Q144" s="11" t="e">
        <f>SQRT(VAR(J144:O144))</f>
        <v>#DIV/0!</v>
      </c>
      <c r="R144" s="11">
        <f>COUNT(J144:O144)</f>
        <v>0</v>
      </c>
      <c r="U144" s="244"/>
      <c r="V144" s="22"/>
      <c r="W144" s="20"/>
      <c r="X144" s="20"/>
      <c r="Y144" s="20"/>
      <c r="Z144" s="20"/>
      <c r="AA144" s="20"/>
      <c r="AB144" s="27" t="e">
        <f>AVERAGE(V144:AA144)</f>
        <v>#DIV/0!</v>
      </c>
      <c r="AC144" s="11" t="e">
        <f>SQRT(VAR(V144:AA144))</f>
        <v>#DIV/0!</v>
      </c>
      <c r="AD144" s="11">
        <f>COUNT(V144:AA144)</f>
        <v>0</v>
      </c>
    </row>
    <row r="145" spans="1:30">
      <c r="A145" s="244"/>
      <c r="P145" s="5"/>
      <c r="U145" s="244"/>
      <c r="AB145" s="5"/>
    </row>
    <row r="146" spans="1:30">
      <c r="A146" s="244"/>
      <c r="B146" s="9" t="s">
        <v>50</v>
      </c>
      <c r="C146" s="9"/>
      <c r="D146" s="9" t="s">
        <v>50</v>
      </c>
      <c r="E146" s="9"/>
      <c r="F146" s="9"/>
      <c r="G146" s="10"/>
      <c r="H146" s="13"/>
      <c r="I146" s="13"/>
      <c r="J146" s="16"/>
      <c r="K146" s="16"/>
      <c r="L146" s="16"/>
      <c r="M146" s="16"/>
      <c r="N146" s="16"/>
      <c r="O146" s="16"/>
      <c r="P146" s="26"/>
      <c r="Q146" s="13"/>
      <c r="R146" s="13"/>
      <c r="U146" s="244"/>
      <c r="V146" s="16"/>
      <c r="W146" s="16"/>
      <c r="X146" s="16"/>
      <c r="Y146" s="16"/>
      <c r="Z146" s="16"/>
      <c r="AA146" s="16"/>
      <c r="AB146" s="26"/>
      <c r="AC146" s="13"/>
      <c r="AD146" s="13"/>
    </row>
    <row r="147" spans="1:30" ht="38.25">
      <c r="A147" s="244"/>
      <c r="B147" s="3" t="s">
        <v>413</v>
      </c>
      <c r="C147" s="3" t="s">
        <v>441</v>
      </c>
      <c r="D147" s="3" t="s">
        <v>468</v>
      </c>
      <c r="E147" s="3" t="s">
        <v>429</v>
      </c>
      <c r="F147" s="3" t="s">
        <v>69</v>
      </c>
      <c r="H147" s="3" t="s">
        <v>417</v>
      </c>
      <c r="I147" s="17">
        <v>1.6</v>
      </c>
      <c r="J147" s="2">
        <f>UL_OH!R28*3.457</f>
        <v>3.1839260504201676</v>
      </c>
      <c r="P147" s="5">
        <f>AVERAGE(J147:O147)</f>
        <v>3.1839260504201676</v>
      </c>
      <c r="Q147" s="3" t="e">
        <f>SQRT(VAR(J147:O147))</f>
        <v>#DIV/0!</v>
      </c>
      <c r="R147" s="3">
        <f>COUNT(J147:O147)</f>
        <v>1</v>
      </c>
      <c r="U147" s="244"/>
      <c r="V147" s="2">
        <f>UL_OH!R28*3.384</f>
        <v>3.1166924369747897</v>
      </c>
      <c r="AB147" s="5">
        <f>AVERAGE(V147:AA147)</f>
        <v>3.1166924369747897</v>
      </c>
      <c r="AC147" s="3" t="e">
        <f>SQRT(VAR(V147:AA147))</f>
        <v>#DIV/0!</v>
      </c>
      <c r="AD147" s="3">
        <f>COUNT(V147:AA147)</f>
        <v>1</v>
      </c>
    </row>
    <row r="148" spans="1:30" ht="25.5">
      <c r="A148" s="244"/>
      <c r="H148" s="11" t="s">
        <v>418</v>
      </c>
      <c r="I148" s="11">
        <v>4.4999999999999998E-2</v>
      </c>
      <c r="J148" s="20">
        <f>UL_OH!R28*0.123</f>
        <v>0.11328403361344537</v>
      </c>
      <c r="K148" s="20"/>
      <c r="L148" s="20"/>
      <c r="M148" s="20"/>
      <c r="N148" s="20"/>
      <c r="O148" s="20"/>
      <c r="P148" s="27">
        <f>AVERAGE(J148:O148)</f>
        <v>0.11328403361344537</v>
      </c>
      <c r="Q148" s="11" t="e">
        <f>SQRT(VAR(J148:O148))</f>
        <v>#DIV/0!</v>
      </c>
      <c r="R148" s="11">
        <f>COUNT(J148:O148)</f>
        <v>1</v>
      </c>
      <c r="U148" s="244"/>
      <c r="V148" s="20">
        <f>UL_OH!R28*0.103</f>
        <v>9.4863865546218479E-2</v>
      </c>
      <c r="W148" s="20"/>
      <c r="X148" s="20"/>
      <c r="Y148" s="20"/>
      <c r="Z148" s="20"/>
      <c r="AA148" s="20"/>
      <c r="AB148" s="27">
        <f>AVERAGE(V148:AA148)</f>
        <v>9.4863865546218479E-2</v>
      </c>
      <c r="AC148" s="11" t="e">
        <f>SQRT(VAR(V148:AA148))</f>
        <v>#DIV/0!</v>
      </c>
      <c r="AD148" s="11">
        <f>COUNT(V148:AA148)</f>
        <v>1</v>
      </c>
    </row>
    <row r="149" spans="1:30">
      <c r="A149" s="30"/>
      <c r="P149" s="5"/>
      <c r="U149" s="30"/>
      <c r="AB149" s="5"/>
    </row>
    <row r="150" spans="1:30" ht="38.25">
      <c r="A150" s="30"/>
      <c r="B150" s="3" t="s">
        <v>413</v>
      </c>
      <c r="C150" s="3" t="s">
        <v>441</v>
      </c>
      <c r="D150" s="3" t="s">
        <v>468</v>
      </c>
      <c r="E150" s="3" t="s">
        <v>416</v>
      </c>
      <c r="F150" s="3" t="s">
        <v>69</v>
      </c>
      <c r="H150" s="3" t="s">
        <v>417</v>
      </c>
      <c r="I150" s="17">
        <v>1.6</v>
      </c>
      <c r="J150" s="2">
        <f>UL_OH!R19*3.719</f>
        <v>3.5002352941176471</v>
      </c>
      <c r="P150" s="5">
        <f>AVERAGE(J150:O150)</f>
        <v>3.5002352941176471</v>
      </c>
      <c r="Q150" s="3" t="e">
        <f>SQRT(VAR(J150:O150))</f>
        <v>#DIV/0!</v>
      </c>
      <c r="R150" s="3">
        <f>COUNT(J150:O150)</f>
        <v>1</v>
      </c>
      <c r="U150" s="30"/>
      <c r="V150" s="2">
        <f>UL_OH!R19*3.643</f>
        <v>3.4287058823529413</v>
      </c>
      <c r="AB150" s="5">
        <f>AVERAGE(V150:AA150)</f>
        <v>3.4287058823529413</v>
      </c>
      <c r="AC150" s="3" t="e">
        <f>SQRT(VAR(V150:AA150))</f>
        <v>#DIV/0!</v>
      </c>
      <c r="AD150" s="3">
        <f>COUNT(V150:AA150)</f>
        <v>1</v>
      </c>
    </row>
    <row r="151" spans="1:30" ht="25.5">
      <c r="A151" s="30"/>
      <c r="H151" s="11" t="s">
        <v>418</v>
      </c>
      <c r="I151" s="11">
        <v>4.4999999999999998E-2</v>
      </c>
      <c r="J151" s="20">
        <f>UL_OH!R19*0.126</f>
        <v>0.11858823529411766</v>
      </c>
      <c r="K151" s="20"/>
      <c r="L151" s="20"/>
      <c r="M151" s="20"/>
      <c r="N151" s="20"/>
      <c r="O151" s="20"/>
      <c r="P151" s="27">
        <f>AVERAGE(J151:O151)</f>
        <v>0.11858823529411766</v>
      </c>
      <c r="Q151" s="11" t="e">
        <f>SQRT(VAR(J151:O151))</f>
        <v>#DIV/0!</v>
      </c>
      <c r="R151" s="11">
        <f>COUNT(J151:O151)</f>
        <v>1</v>
      </c>
      <c r="U151" s="30"/>
      <c r="V151" s="20">
        <f>UL_OH!R19*0.104</f>
        <v>9.7882352941176476E-2</v>
      </c>
      <c r="W151" s="20"/>
      <c r="X151" s="20"/>
      <c r="Y151" s="20"/>
      <c r="Z151" s="20"/>
      <c r="AA151" s="20"/>
      <c r="AB151" s="27">
        <f>AVERAGE(V151:AA151)</f>
        <v>9.7882352941176476E-2</v>
      </c>
      <c r="AC151" s="11" t="e">
        <f>SQRT(VAR(V151:AA151))</f>
        <v>#DIV/0!</v>
      </c>
      <c r="AD151" s="11">
        <f>COUNT(V151:AA151)</f>
        <v>1</v>
      </c>
    </row>
    <row r="152" spans="1:30">
      <c r="A152" s="30"/>
      <c r="P152" s="5"/>
      <c r="U152" s="30"/>
      <c r="AB152" s="5"/>
    </row>
    <row r="153" spans="1:30" ht="38.25">
      <c r="A153" s="30"/>
      <c r="B153" s="3" t="s">
        <v>413</v>
      </c>
      <c r="C153" s="3" t="s">
        <v>441</v>
      </c>
      <c r="D153" s="3" t="s">
        <v>469</v>
      </c>
      <c r="E153" s="3" t="s">
        <v>429</v>
      </c>
      <c r="F153" s="3" t="s">
        <v>69</v>
      </c>
      <c r="H153" s="3" t="s">
        <v>417</v>
      </c>
      <c r="I153" s="17">
        <v>1.6</v>
      </c>
      <c r="J153" s="2">
        <f>UL_OH!R28*6.219</f>
        <v>5.7277512605042018</v>
      </c>
      <c r="P153" s="5">
        <f>AVERAGE(J153:O153)</f>
        <v>5.7277512605042018</v>
      </c>
      <c r="Q153" s="3" t="e">
        <f>SQRT(VAR(J153:O153))</f>
        <v>#DIV/0!</v>
      </c>
      <c r="R153" s="3">
        <f>COUNT(J153:O153)</f>
        <v>1</v>
      </c>
      <c r="U153" s="30"/>
      <c r="V153" s="2">
        <f>UL_OH!R28*6.257</f>
        <v>5.7627495798319321</v>
      </c>
      <c r="AB153" s="5">
        <f>AVERAGE(V153:AA153)</f>
        <v>5.7627495798319321</v>
      </c>
      <c r="AC153" s="3" t="e">
        <f>SQRT(VAR(V153:AA153))</f>
        <v>#DIV/0!</v>
      </c>
      <c r="AD153" s="3">
        <f>COUNT(V153:AA153)</f>
        <v>1</v>
      </c>
    </row>
    <row r="154" spans="1:30" ht="25.5">
      <c r="A154" s="30"/>
      <c r="H154" s="11" t="s">
        <v>418</v>
      </c>
      <c r="I154" s="11">
        <v>4.4999999999999998E-2</v>
      </c>
      <c r="J154" s="20">
        <f>UL_OH!R28*0.193</f>
        <v>0.1777546218487395</v>
      </c>
      <c r="K154" s="20"/>
      <c r="L154" s="20"/>
      <c r="M154" s="20"/>
      <c r="N154" s="20"/>
      <c r="O154" s="20"/>
      <c r="P154" s="27">
        <f>AVERAGE(J154:O154)</f>
        <v>0.1777546218487395</v>
      </c>
      <c r="Q154" s="11" t="e">
        <f>SQRT(VAR(J154:O154))</f>
        <v>#DIV/0!</v>
      </c>
      <c r="R154" s="11">
        <f>COUNT(J154:O154)</f>
        <v>1</v>
      </c>
      <c r="U154" s="30"/>
      <c r="V154" s="20">
        <f>UL_OH!R28*0.141</f>
        <v>0.12986218487394957</v>
      </c>
      <c r="W154" s="20"/>
      <c r="X154" s="20"/>
      <c r="Y154" s="20"/>
      <c r="Z154" s="20"/>
      <c r="AA154" s="20"/>
      <c r="AB154" s="27">
        <f>AVERAGE(V154:AA154)</f>
        <v>0.12986218487394957</v>
      </c>
      <c r="AC154" s="11" t="e">
        <f>SQRT(VAR(V154:AA154))</f>
        <v>#DIV/0!</v>
      </c>
      <c r="AD154" s="11">
        <f>COUNT(V154:AA154)</f>
        <v>1</v>
      </c>
    </row>
    <row r="155" spans="1:30">
      <c r="A155" s="30"/>
      <c r="P155" s="5"/>
      <c r="U155" s="30"/>
      <c r="AB155" s="5"/>
    </row>
    <row r="156" spans="1:30" ht="38.25">
      <c r="A156" s="30"/>
      <c r="B156" s="3" t="s">
        <v>413</v>
      </c>
      <c r="C156" s="3" t="s">
        <v>441</v>
      </c>
      <c r="D156" s="3" t="s">
        <v>469</v>
      </c>
      <c r="E156" s="3" t="s">
        <v>416</v>
      </c>
      <c r="F156" s="3" t="s">
        <v>69</v>
      </c>
      <c r="H156" s="3" t="s">
        <v>417</v>
      </c>
      <c r="I156" s="17">
        <v>1.6</v>
      </c>
      <c r="J156" s="2">
        <f>UL_OH!R19*6.627</f>
        <v>6.2371764705882358</v>
      </c>
      <c r="P156" s="5">
        <f>AVERAGE(J156:O156)</f>
        <v>6.2371764705882358</v>
      </c>
      <c r="Q156" s="3" t="e">
        <f>SQRT(VAR(J156:O156))</f>
        <v>#DIV/0!</v>
      </c>
      <c r="R156" s="3">
        <f>COUNT(J156:O156)</f>
        <v>1</v>
      </c>
      <c r="U156" s="30"/>
      <c r="V156" s="2">
        <f>UL_OH!R19*6.349</f>
        <v>5.9755294117647066</v>
      </c>
      <c r="AB156" s="5">
        <f>AVERAGE(V156:AA156)</f>
        <v>5.9755294117647066</v>
      </c>
      <c r="AC156" s="3" t="e">
        <f>SQRT(VAR(V156:AA156))</f>
        <v>#DIV/0!</v>
      </c>
      <c r="AD156" s="3">
        <f>COUNT(V156:AA156)</f>
        <v>1</v>
      </c>
    </row>
    <row r="157" spans="1:30" ht="25.5">
      <c r="A157" s="30"/>
      <c r="H157" s="11" t="s">
        <v>418</v>
      </c>
      <c r="I157" s="11">
        <v>4.4999999999999998E-2</v>
      </c>
      <c r="J157" s="20">
        <f>UL_OH!R19*0.195</f>
        <v>0.18352941176470591</v>
      </c>
      <c r="K157" s="20"/>
      <c r="L157" s="20"/>
      <c r="M157" s="20"/>
      <c r="N157" s="20"/>
      <c r="O157" s="20"/>
      <c r="P157" s="27">
        <f>AVERAGE(J157:O157)</f>
        <v>0.18352941176470591</v>
      </c>
      <c r="Q157" s="11" t="e">
        <f>SQRT(VAR(J157:O157))</f>
        <v>#DIV/0!</v>
      </c>
      <c r="R157" s="11">
        <f>COUNT(J157:O157)</f>
        <v>1</v>
      </c>
      <c r="U157" s="30"/>
      <c r="V157" s="20">
        <f>UL_OH!R19*0.157</f>
        <v>0.14776470588235296</v>
      </c>
      <c r="W157" s="20"/>
      <c r="X157" s="20"/>
      <c r="Y157" s="20"/>
      <c r="Z157" s="20"/>
      <c r="AA157" s="20"/>
      <c r="AB157" s="27">
        <f>AVERAGE(V157:AA157)</f>
        <v>0.14776470588235296</v>
      </c>
      <c r="AC157" s="11" t="e">
        <f>SQRT(VAR(V157:AA157))</f>
        <v>#DIV/0!</v>
      </c>
      <c r="AD157" s="11">
        <f>COUNT(V157:AA157)</f>
        <v>1</v>
      </c>
    </row>
    <row r="158" spans="1:30">
      <c r="A158" s="30"/>
      <c r="P158" s="5"/>
      <c r="U158" s="30"/>
      <c r="AB158" s="5"/>
    </row>
    <row r="159" spans="1:30" ht="38.25">
      <c r="A159" s="30"/>
      <c r="B159" s="3" t="s">
        <v>413</v>
      </c>
      <c r="C159" s="3" t="s">
        <v>452</v>
      </c>
      <c r="D159" s="3" t="s">
        <v>470</v>
      </c>
      <c r="E159" s="3" t="s">
        <v>416</v>
      </c>
      <c r="F159" s="3" t="s">
        <v>70</v>
      </c>
      <c r="H159" s="3" t="s">
        <v>417</v>
      </c>
      <c r="I159" s="17">
        <v>1.6</v>
      </c>
      <c r="P159" s="5" t="e">
        <f>AVERAGE(J159:O159)</f>
        <v>#DIV/0!</v>
      </c>
      <c r="Q159" s="3" t="e">
        <f>SQRT(VAR(J159:O159))</f>
        <v>#DIV/0!</v>
      </c>
      <c r="R159" s="3">
        <f>COUNT(J159:O159)</f>
        <v>0</v>
      </c>
      <c r="U159" s="30"/>
      <c r="AB159" s="5" t="e">
        <f>AVERAGE(V159:AA159)</f>
        <v>#DIV/0!</v>
      </c>
      <c r="AC159" s="3" t="e">
        <f>SQRT(VAR(V159:AA159))</f>
        <v>#DIV/0!</v>
      </c>
      <c r="AD159" s="3">
        <f>COUNT(V159:AA159)</f>
        <v>0</v>
      </c>
    </row>
    <row r="160" spans="1:30" ht="25.5">
      <c r="A160" s="30"/>
      <c r="H160" s="11" t="s">
        <v>418</v>
      </c>
      <c r="I160" s="11">
        <v>4.4999999999999998E-2</v>
      </c>
      <c r="J160" s="20"/>
      <c r="K160" s="20"/>
      <c r="L160" s="20"/>
      <c r="M160" s="20"/>
      <c r="N160" s="20"/>
      <c r="O160" s="20"/>
      <c r="P160" s="27" t="e">
        <f>AVERAGE(J160:O160)</f>
        <v>#DIV/0!</v>
      </c>
      <c r="Q160" s="11" t="e">
        <f>SQRT(VAR(J160:O160))</f>
        <v>#DIV/0!</v>
      </c>
      <c r="R160" s="11">
        <f>COUNT(J160:O160)</f>
        <v>0</v>
      </c>
      <c r="U160" s="30"/>
      <c r="V160" s="20"/>
      <c r="W160" s="20"/>
      <c r="X160" s="20"/>
      <c r="Y160" s="20"/>
      <c r="Z160" s="20"/>
      <c r="AA160" s="20"/>
      <c r="AB160" s="27" t="e">
        <f>AVERAGE(V160:AA160)</f>
        <v>#DIV/0!</v>
      </c>
      <c r="AC160" s="11" t="e">
        <f>SQRT(VAR(V160:AA160))</f>
        <v>#DIV/0!</v>
      </c>
      <c r="AD160" s="11">
        <f>COUNT(V160:AA160)</f>
        <v>0</v>
      </c>
    </row>
    <row r="161" spans="1:30">
      <c r="A161" s="30"/>
      <c r="P161" s="5"/>
      <c r="U161" s="30"/>
      <c r="AB161" s="5"/>
    </row>
    <row r="162" spans="1:30" ht="38.25">
      <c r="A162" s="30"/>
      <c r="B162" s="3" t="s">
        <v>413</v>
      </c>
      <c r="C162" s="3" t="s">
        <v>454</v>
      </c>
      <c r="D162" s="3" t="s">
        <v>471</v>
      </c>
      <c r="E162" s="3" t="s">
        <v>416</v>
      </c>
      <c r="F162" s="3" t="s">
        <v>69</v>
      </c>
      <c r="H162" s="3" t="s">
        <v>417</v>
      </c>
      <c r="I162" s="17">
        <v>1.6</v>
      </c>
      <c r="P162" s="5" t="e">
        <f>AVERAGE(J162:O162)</f>
        <v>#DIV/0!</v>
      </c>
      <c r="Q162" s="3" t="e">
        <f>SQRT(VAR(J162:O162))</f>
        <v>#DIV/0!</v>
      </c>
      <c r="R162" s="3">
        <f>COUNT(J162:O162)</f>
        <v>0</v>
      </c>
      <c r="U162" s="30"/>
      <c r="AB162" s="5" t="e">
        <f>AVERAGE(V162:AA162)</f>
        <v>#DIV/0!</v>
      </c>
      <c r="AC162" s="3" t="e">
        <f>SQRT(VAR(V162:AA162))</f>
        <v>#DIV/0!</v>
      </c>
      <c r="AD162" s="3">
        <f>COUNT(V162:AA162)</f>
        <v>0</v>
      </c>
    </row>
    <row r="163" spans="1:30" ht="25.5">
      <c r="A163" s="30"/>
      <c r="H163" s="11" t="s">
        <v>418</v>
      </c>
      <c r="I163" s="11">
        <v>4.4999999999999998E-2</v>
      </c>
      <c r="J163" s="20"/>
      <c r="K163" s="20"/>
      <c r="L163" s="20"/>
      <c r="M163" s="20"/>
      <c r="N163" s="20"/>
      <c r="O163" s="20"/>
      <c r="P163" s="27" t="e">
        <f>AVERAGE(J163:O163)</f>
        <v>#DIV/0!</v>
      </c>
      <c r="Q163" s="11" t="e">
        <f>SQRT(VAR(J163:O163))</f>
        <v>#DIV/0!</v>
      </c>
      <c r="R163" s="11">
        <f>COUNT(J163:O163)</f>
        <v>0</v>
      </c>
      <c r="U163" s="30"/>
      <c r="V163" s="20"/>
      <c r="W163" s="20"/>
      <c r="X163" s="20"/>
      <c r="Y163" s="20"/>
      <c r="Z163" s="20"/>
      <c r="AA163" s="20"/>
      <c r="AB163" s="27" t="e">
        <f>AVERAGE(V163:AA163)</f>
        <v>#DIV/0!</v>
      </c>
      <c r="AC163" s="11" t="e">
        <f>SQRT(VAR(V163:AA163))</f>
        <v>#DIV/0!</v>
      </c>
      <c r="AD163" s="11">
        <f>COUNT(V163:AA163)</f>
        <v>0</v>
      </c>
    </row>
    <row r="164" spans="1:30">
      <c r="A164" s="30"/>
      <c r="P164" s="5"/>
      <c r="U164" s="30"/>
      <c r="AB164" s="5"/>
    </row>
    <row r="165" spans="1:30">
      <c r="A165" s="30"/>
      <c r="P165" s="5"/>
      <c r="U165" s="244"/>
      <c r="AB165" s="5"/>
    </row>
    <row r="166" spans="1:30" ht="38.25">
      <c r="A166" s="30"/>
      <c r="B166" s="3" t="s">
        <v>413</v>
      </c>
      <c r="C166" s="3" t="s">
        <v>456</v>
      </c>
      <c r="D166" s="29" t="s">
        <v>473</v>
      </c>
      <c r="E166" s="3" t="s">
        <v>429</v>
      </c>
      <c r="F166" s="29" t="s">
        <v>70</v>
      </c>
      <c r="G166" s="32"/>
      <c r="H166" s="3" t="s">
        <v>417</v>
      </c>
      <c r="I166" s="17">
        <v>1.6</v>
      </c>
      <c r="O166" s="2">
        <f>UL_OH!R26*7.484</f>
        <v>7.8290315521129523</v>
      </c>
      <c r="P166" s="5">
        <f>AVERAGE(J166:O166)</f>
        <v>7.8290315521129523</v>
      </c>
      <c r="Q166" s="3" t="e">
        <f>SQRT(VAR(J166:O166))</f>
        <v>#DIV/0!</v>
      </c>
      <c r="R166" s="3">
        <f>COUNT(J166:O166)</f>
        <v>1</v>
      </c>
      <c r="U166" s="244"/>
      <c r="Z166" s="2">
        <f>UL_OH!R26*7.32</f>
        <v>7.6574707324247475</v>
      </c>
      <c r="AB166" s="5">
        <f>AVERAGE(V166:AA166)</f>
        <v>7.6574707324247475</v>
      </c>
      <c r="AC166" s="3" t="e">
        <f>SQRT(VAR(V166:AA166))</f>
        <v>#DIV/0!</v>
      </c>
      <c r="AD166" s="3">
        <f>COUNT(V166:AA166)</f>
        <v>1</v>
      </c>
    </row>
    <row r="167" spans="1:30" ht="25.5">
      <c r="A167" s="30"/>
      <c r="H167" s="11" t="s">
        <v>418</v>
      </c>
      <c r="I167" s="11">
        <v>4.4999999999999998E-2</v>
      </c>
      <c r="J167" s="20"/>
      <c r="K167" s="20"/>
      <c r="L167" s="20"/>
      <c r="M167" s="20"/>
      <c r="N167" s="20"/>
      <c r="O167" s="20">
        <f>UL_OH!R26*0.301</f>
        <v>0.31487687028140016</v>
      </c>
      <c r="P167" s="27">
        <f>AVERAGE(J167:O167)</f>
        <v>0.31487687028140016</v>
      </c>
      <c r="Q167" s="11" t="e">
        <f>SQRT(VAR(J167:O167))</f>
        <v>#DIV/0!</v>
      </c>
      <c r="R167" s="11">
        <f>COUNT(J167:O167)</f>
        <v>1</v>
      </c>
      <c r="U167" s="244"/>
      <c r="V167" s="20"/>
      <c r="W167" s="20"/>
      <c r="X167" s="20"/>
      <c r="Y167" s="20"/>
      <c r="Z167" s="20">
        <f>UL_OH!R26*0.31</f>
        <v>0.3242917933130699</v>
      </c>
      <c r="AA167" s="20"/>
      <c r="AB167" s="27">
        <f>AVERAGE(V167:AA167)</f>
        <v>0.3242917933130699</v>
      </c>
      <c r="AC167" s="11" t="e">
        <f>SQRT(VAR(V167:AA167))</f>
        <v>#DIV/0!</v>
      </c>
      <c r="AD167" s="11">
        <f>COUNT(V167:AA167)</f>
        <v>1</v>
      </c>
    </row>
    <row r="168" spans="1:30">
      <c r="A168" s="30"/>
      <c r="P168" s="5"/>
      <c r="U168" s="244"/>
      <c r="AB168" s="5"/>
    </row>
    <row r="169" spans="1:30" ht="38.25">
      <c r="A169" s="30"/>
      <c r="B169" s="3" t="s">
        <v>413</v>
      </c>
      <c r="C169" s="3" t="s">
        <v>456</v>
      </c>
      <c r="D169" s="29" t="s">
        <v>473</v>
      </c>
      <c r="E169" s="3" t="s">
        <v>429</v>
      </c>
      <c r="F169" s="3" t="s">
        <v>69</v>
      </c>
      <c r="H169" s="3" t="s">
        <v>417</v>
      </c>
      <c r="I169" s="17">
        <v>1.6</v>
      </c>
      <c r="P169" s="5" t="e">
        <f>AVERAGE(J169:O169)</f>
        <v>#DIV/0!</v>
      </c>
      <c r="Q169" s="3" t="e">
        <f>SQRT(VAR(J169:O169))</f>
        <v>#DIV/0!</v>
      </c>
      <c r="R169" s="3">
        <f>COUNT(J169:O169)</f>
        <v>0</v>
      </c>
      <c r="U169" s="244"/>
      <c r="Z169" s="2">
        <f>UL_OH!R19*6.8</f>
        <v>6.4</v>
      </c>
      <c r="AB169" s="5">
        <f>AVERAGE(V169:AA169)</f>
        <v>6.4</v>
      </c>
      <c r="AC169" s="3" t="e">
        <f>SQRT(VAR(V169:AA169))</f>
        <v>#DIV/0!</v>
      </c>
      <c r="AD169" s="3">
        <f>COUNT(V169:AA169)</f>
        <v>1</v>
      </c>
    </row>
    <row r="170" spans="1:30" ht="25.5">
      <c r="A170" s="30"/>
      <c r="H170" s="11" t="s">
        <v>418</v>
      </c>
      <c r="I170" s="11">
        <v>4.4999999999999998E-2</v>
      </c>
      <c r="J170" s="20"/>
      <c r="K170" s="20"/>
      <c r="L170" s="20"/>
      <c r="M170" s="20"/>
      <c r="N170" s="20"/>
      <c r="O170" s="20"/>
      <c r="P170" s="27" t="e">
        <f>AVERAGE(J170:O170)</f>
        <v>#DIV/0!</v>
      </c>
      <c r="Q170" s="11" t="e">
        <f>SQRT(VAR(J170:O170))</f>
        <v>#DIV/0!</v>
      </c>
      <c r="R170" s="11">
        <f>COUNT(J170:O170)</f>
        <v>0</v>
      </c>
      <c r="U170" s="244"/>
      <c r="V170" s="20"/>
      <c r="W170" s="20"/>
      <c r="X170" s="20"/>
      <c r="Y170" s="20"/>
      <c r="Z170" s="20">
        <f>UL_OH!R19*0.29</f>
        <v>0.27294117647058824</v>
      </c>
      <c r="AA170" s="20"/>
      <c r="AB170" s="27">
        <f>AVERAGE(V170:AA170)</f>
        <v>0.27294117647058824</v>
      </c>
      <c r="AC170" s="11" t="e">
        <f>SQRT(VAR(V170:AA170))</f>
        <v>#DIV/0!</v>
      </c>
      <c r="AD170" s="11">
        <f>COUNT(V170:AA170)</f>
        <v>1</v>
      </c>
    </row>
    <row r="171" spans="1:30">
      <c r="A171" s="30"/>
      <c r="P171" s="5"/>
      <c r="U171" s="244"/>
      <c r="AB171" s="5"/>
    </row>
    <row r="172" spans="1:30" ht="38.25">
      <c r="A172" s="30"/>
      <c r="B172" s="3" t="s">
        <v>413</v>
      </c>
      <c r="C172" s="3" t="s">
        <v>474</v>
      </c>
      <c r="D172" s="3" t="s">
        <v>475</v>
      </c>
      <c r="E172" s="3" t="s">
        <v>429</v>
      </c>
      <c r="F172" s="3" t="s">
        <v>72</v>
      </c>
      <c r="H172" s="3" t="s">
        <v>417</v>
      </c>
      <c r="I172" s="17">
        <v>1.6</v>
      </c>
      <c r="P172" s="5" t="e">
        <f>AVERAGE(J172:O172)</f>
        <v>#DIV/0!</v>
      </c>
      <c r="Q172" s="3" t="e">
        <f>SQRT(VAR(J172:O172))</f>
        <v>#DIV/0!</v>
      </c>
      <c r="R172" s="3">
        <f>COUNT(J172:O172)</f>
        <v>0</v>
      </c>
      <c r="U172" s="244"/>
      <c r="AB172" s="5" t="e">
        <f>AVERAGE(V172:AA172)</f>
        <v>#DIV/0!</v>
      </c>
      <c r="AC172" s="3" t="e">
        <f>SQRT(VAR(V172:AA172))</f>
        <v>#DIV/0!</v>
      </c>
      <c r="AD172" s="3">
        <f>COUNT(V172:AA172)</f>
        <v>0</v>
      </c>
    </row>
    <row r="173" spans="1:30" ht="25.5">
      <c r="A173" s="30"/>
      <c r="H173" s="11" t="s">
        <v>418</v>
      </c>
      <c r="I173" s="11">
        <v>4.4999999999999998E-2</v>
      </c>
      <c r="J173" s="20"/>
      <c r="K173" s="20"/>
      <c r="L173" s="20"/>
      <c r="M173" s="20"/>
      <c r="N173" s="20"/>
      <c r="O173" s="20"/>
      <c r="P173" s="27" t="e">
        <f>AVERAGE(J173:O173)</f>
        <v>#DIV/0!</v>
      </c>
      <c r="Q173" s="11" t="e">
        <f>SQRT(VAR(J173:O173))</f>
        <v>#DIV/0!</v>
      </c>
      <c r="R173" s="11">
        <f>COUNT(J173:O173)</f>
        <v>0</v>
      </c>
      <c r="U173" s="244"/>
      <c r="V173" s="20"/>
      <c r="W173" s="20"/>
      <c r="X173" s="20"/>
      <c r="Y173" s="20"/>
      <c r="Z173" s="20"/>
      <c r="AA173" s="20"/>
      <c r="AB173" s="27" t="e">
        <f>AVERAGE(V173:AA173)</f>
        <v>#DIV/0!</v>
      </c>
      <c r="AC173" s="11" t="e">
        <f>SQRT(VAR(V173:AA173))</f>
        <v>#DIV/0!</v>
      </c>
      <c r="AD173" s="11">
        <f>COUNT(V173:AA173)</f>
        <v>0</v>
      </c>
    </row>
    <row r="174" spans="1:30">
      <c r="P174" s="5"/>
      <c r="AB174" s="5"/>
    </row>
    <row r="175" spans="1:30">
      <c r="P175" s="5"/>
      <c r="AB175" s="5"/>
    </row>
    <row r="176" spans="1:30">
      <c r="P176" s="5"/>
      <c r="AB176" s="5"/>
    </row>
    <row r="177" spans="16:28">
      <c r="P177" s="5"/>
      <c r="AB177" s="5"/>
    </row>
    <row r="178" spans="16:28">
      <c r="P178" s="5"/>
      <c r="AB178" s="5"/>
    </row>
    <row r="179" spans="16:28">
      <c r="P179" s="5"/>
      <c r="AB179" s="5"/>
    </row>
    <row r="180" spans="16:28">
      <c r="P180" s="5"/>
      <c r="AB180" s="5"/>
    </row>
    <row r="181" spans="16:28">
      <c r="P181" s="5"/>
      <c r="AB181" s="5"/>
    </row>
    <row r="182" spans="16:28">
      <c r="P182" s="5"/>
      <c r="AB182" s="5"/>
    </row>
    <row r="183" spans="16:28">
      <c r="P183" s="5"/>
      <c r="AB183" s="5"/>
    </row>
    <row r="184" spans="16:28">
      <c r="P184" s="5"/>
      <c r="AB184" s="5"/>
    </row>
    <row r="185" spans="16:28">
      <c r="P185" s="5"/>
      <c r="AB185" s="5"/>
    </row>
    <row r="186" spans="16:28">
      <c r="P186" s="5"/>
      <c r="AB186" s="5"/>
    </row>
    <row r="187" spans="16:28">
      <c r="P187" s="5"/>
      <c r="AB187" s="5"/>
    </row>
    <row r="188" spans="16:28">
      <c r="P188" s="5"/>
      <c r="AB188" s="5"/>
    </row>
    <row r="189" spans="16:28">
      <c r="P189" s="5"/>
      <c r="AB189" s="5"/>
    </row>
    <row r="190" spans="16:28">
      <c r="P190" s="5"/>
      <c r="AB190" s="5"/>
    </row>
    <row r="191" spans="16:28">
      <c r="P191" s="5"/>
      <c r="AB191" s="5"/>
    </row>
    <row r="192" spans="16:28">
      <c r="P192" s="5"/>
      <c r="AB192" s="5"/>
    </row>
    <row r="193" spans="16:28">
      <c r="P193" s="5"/>
      <c r="AB193" s="5"/>
    </row>
    <row r="194" spans="16:28">
      <c r="P194" s="5"/>
      <c r="AB194" s="5"/>
    </row>
    <row r="195" spans="16:28">
      <c r="P195" s="5"/>
      <c r="AB195" s="5"/>
    </row>
    <row r="196" spans="16:28">
      <c r="P196" s="5"/>
      <c r="AB196" s="5"/>
    </row>
    <row r="197" spans="16:28">
      <c r="P197" s="5"/>
      <c r="AB197" s="5"/>
    </row>
    <row r="198" spans="16:28">
      <c r="P198" s="5"/>
      <c r="AB198" s="5"/>
    </row>
    <row r="199" spans="16:28">
      <c r="P199" s="5"/>
      <c r="AB199" s="5"/>
    </row>
    <row r="200" spans="16:28">
      <c r="P200" s="5"/>
      <c r="AB200" s="5"/>
    </row>
    <row r="201" spans="16:28">
      <c r="P201" s="5"/>
      <c r="AB201" s="5"/>
    </row>
    <row r="202" spans="16:28">
      <c r="P202" s="5"/>
      <c r="AB202" s="5"/>
    </row>
    <row r="203" spans="16:28">
      <c r="P203" s="5"/>
      <c r="AB203" s="5"/>
    </row>
    <row r="204" spans="16:28">
      <c r="P204" s="5"/>
      <c r="AB204" s="5"/>
    </row>
    <row r="205" spans="16:28">
      <c r="P205" s="5"/>
      <c r="AB205" s="5"/>
    </row>
    <row r="206" spans="16:28">
      <c r="P206" s="5"/>
      <c r="AB206" s="5"/>
    </row>
    <row r="219" spans="1:30" s="2" customFormat="1">
      <c r="A219" s="3"/>
      <c r="B219" s="3"/>
      <c r="C219" s="3"/>
      <c r="D219" s="3"/>
      <c r="E219" s="3"/>
      <c r="F219" s="3"/>
      <c r="G219" s="4"/>
      <c r="H219" s="3"/>
      <c r="I219" s="3"/>
      <c r="P219" s="3"/>
      <c r="Q219" s="3"/>
      <c r="R219" s="3"/>
      <c r="S219" s="3"/>
      <c r="T219" s="3"/>
      <c r="U219" s="3"/>
      <c r="AB219" s="3"/>
      <c r="AC219" s="3"/>
      <c r="AD219" s="3"/>
    </row>
    <row r="220" spans="1:30" s="2" customFormat="1">
      <c r="A220" s="3"/>
      <c r="B220" s="3"/>
      <c r="C220" s="3"/>
      <c r="D220" s="3"/>
      <c r="E220" s="3"/>
      <c r="F220" s="3"/>
      <c r="G220" s="4"/>
      <c r="H220" s="3"/>
      <c r="I220" s="3"/>
      <c r="P220" s="3"/>
      <c r="Q220" s="3"/>
      <c r="R220" s="3"/>
      <c r="S220" s="3"/>
      <c r="T220" s="3"/>
      <c r="U220" s="3"/>
      <c r="AB220" s="3"/>
      <c r="AC220" s="3"/>
      <c r="AD220" s="3"/>
    </row>
    <row r="221" spans="1:30" s="2" customFormat="1">
      <c r="A221" s="3"/>
      <c r="B221" s="3"/>
      <c r="C221" s="3"/>
      <c r="D221" s="3"/>
      <c r="E221" s="3"/>
      <c r="F221" s="3"/>
      <c r="G221" s="4"/>
      <c r="H221" s="3"/>
      <c r="I221" s="3"/>
      <c r="P221" s="3"/>
      <c r="Q221" s="3"/>
      <c r="R221" s="3"/>
      <c r="S221" s="3"/>
      <c r="T221" s="3"/>
      <c r="U221" s="3"/>
      <c r="AB221" s="3"/>
      <c r="AC221" s="3"/>
      <c r="AD221" s="3"/>
    </row>
    <row r="222" spans="1:30" s="2" customFormat="1">
      <c r="A222" s="3"/>
      <c r="B222" s="3"/>
      <c r="C222" s="3"/>
      <c r="D222" s="3"/>
      <c r="E222" s="3"/>
      <c r="F222" s="3"/>
      <c r="G222" s="4"/>
      <c r="H222" s="3"/>
      <c r="I222" s="3"/>
      <c r="P222" s="3"/>
      <c r="Q222" s="3"/>
      <c r="R222" s="3"/>
      <c r="S222" s="3"/>
      <c r="T222" s="3"/>
      <c r="U222" s="3"/>
      <c r="AB222" s="3"/>
      <c r="AC222" s="3"/>
      <c r="AD222" s="3"/>
    </row>
    <row r="223" spans="1:30" s="2" customFormat="1">
      <c r="A223" s="3"/>
      <c r="B223" s="3"/>
      <c r="C223" s="3"/>
      <c r="D223" s="3"/>
      <c r="E223" s="3"/>
      <c r="F223" s="3"/>
      <c r="G223" s="4"/>
      <c r="H223" s="3"/>
      <c r="I223" s="3"/>
      <c r="P223" s="3"/>
      <c r="Q223" s="3"/>
      <c r="R223" s="3"/>
      <c r="S223" s="3"/>
      <c r="T223" s="3"/>
      <c r="U223" s="3"/>
      <c r="AB223" s="3"/>
      <c r="AC223" s="3"/>
      <c r="AD223" s="3"/>
    </row>
    <row r="224" spans="1:30" s="2" customFormat="1">
      <c r="A224" s="3"/>
      <c r="B224" s="3"/>
      <c r="C224" s="3"/>
      <c r="D224" s="3"/>
      <c r="E224" s="3"/>
      <c r="F224" s="3"/>
      <c r="G224" s="4"/>
      <c r="H224" s="3"/>
      <c r="I224" s="3"/>
      <c r="P224" s="3"/>
      <c r="Q224" s="3"/>
      <c r="R224" s="3"/>
      <c r="S224" s="3"/>
      <c r="T224" s="3"/>
      <c r="U224" s="3"/>
      <c r="AB224" s="3"/>
      <c r="AC224" s="3"/>
      <c r="AD224" s="3"/>
    </row>
    <row r="225" spans="1:30" s="2" customFormat="1">
      <c r="A225" s="3"/>
      <c r="B225" s="3"/>
      <c r="C225" s="3"/>
      <c r="D225" s="3"/>
      <c r="E225" s="3"/>
      <c r="F225" s="3"/>
      <c r="G225" s="4"/>
      <c r="H225" s="3"/>
      <c r="I225" s="3"/>
      <c r="P225" s="3"/>
      <c r="Q225" s="3"/>
      <c r="R225" s="3"/>
      <c r="S225" s="3"/>
      <c r="T225" s="3"/>
      <c r="U225" s="3"/>
      <c r="AB225" s="3"/>
      <c r="AC225" s="3"/>
      <c r="AD225" s="3"/>
    </row>
    <row r="226" spans="1:30" s="2" customFormat="1">
      <c r="A226" s="3"/>
      <c r="B226" s="3"/>
      <c r="C226" s="3"/>
      <c r="D226" s="3"/>
      <c r="E226" s="3"/>
      <c r="F226" s="3"/>
      <c r="G226" s="4"/>
      <c r="H226" s="3"/>
      <c r="I226" s="3"/>
      <c r="P226" s="3"/>
      <c r="Q226" s="3"/>
      <c r="R226" s="3"/>
      <c r="S226" s="3"/>
      <c r="T226" s="3"/>
      <c r="U226" s="3"/>
      <c r="AB226" s="3"/>
      <c r="AC226" s="3"/>
      <c r="AD226" s="3"/>
    </row>
    <row r="227" spans="1:30" s="2" customFormat="1">
      <c r="A227" s="3"/>
      <c r="B227" s="3"/>
      <c r="C227" s="3"/>
      <c r="D227" s="3"/>
      <c r="E227" s="3"/>
      <c r="F227" s="3"/>
      <c r="G227" s="4"/>
      <c r="H227" s="3"/>
      <c r="I227" s="3"/>
      <c r="P227" s="3"/>
      <c r="Q227" s="3"/>
      <c r="R227" s="3"/>
      <c r="S227" s="3"/>
      <c r="T227" s="3"/>
      <c r="U227" s="3"/>
      <c r="AB227" s="3"/>
      <c r="AC227" s="3"/>
      <c r="AD227" s="3"/>
    </row>
    <row r="228" spans="1:30" s="2" customFormat="1">
      <c r="A228" s="3"/>
      <c r="B228" s="3"/>
      <c r="C228" s="3"/>
      <c r="D228" s="3"/>
      <c r="E228" s="3"/>
      <c r="F228" s="3"/>
      <c r="G228" s="4"/>
      <c r="H228" s="3"/>
      <c r="I228" s="3"/>
      <c r="P228" s="3"/>
      <c r="Q228" s="3"/>
      <c r="R228" s="3"/>
      <c r="S228" s="3"/>
      <c r="T228" s="3"/>
      <c r="U228" s="3"/>
      <c r="AB228" s="3"/>
      <c r="AC228" s="3"/>
      <c r="AD228" s="3"/>
    </row>
    <row r="229" spans="1:30" s="2" customFormat="1">
      <c r="A229" s="3"/>
      <c r="B229" s="3"/>
      <c r="C229" s="3"/>
      <c r="D229" s="3"/>
      <c r="E229" s="3"/>
      <c r="F229" s="3"/>
      <c r="G229" s="4"/>
      <c r="H229" s="3"/>
      <c r="I229" s="3"/>
      <c r="P229" s="3"/>
      <c r="Q229" s="3"/>
      <c r="R229" s="3"/>
      <c r="S229" s="3"/>
      <c r="T229" s="3"/>
      <c r="U229" s="3"/>
      <c r="AB229" s="3"/>
      <c r="AC229" s="3"/>
      <c r="AD229" s="3"/>
    </row>
    <row r="230" spans="1:30" s="2" customFormat="1">
      <c r="A230" s="3"/>
      <c r="B230" s="3"/>
      <c r="C230" s="3"/>
      <c r="D230" s="3"/>
      <c r="E230" s="3"/>
      <c r="F230" s="3"/>
      <c r="G230" s="4"/>
      <c r="H230" s="3"/>
      <c r="I230" s="3"/>
      <c r="P230" s="3"/>
      <c r="Q230" s="3"/>
      <c r="R230" s="3"/>
      <c r="S230" s="3"/>
      <c r="T230" s="3"/>
      <c r="U230" s="3"/>
      <c r="AB230" s="3"/>
      <c r="AC230" s="3"/>
      <c r="AD230" s="3"/>
    </row>
    <row r="231" spans="1:30" s="2" customFormat="1">
      <c r="A231" s="3"/>
      <c r="B231" s="3"/>
      <c r="C231" s="3"/>
      <c r="D231" s="3"/>
      <c r="E231" s="3"/>
      <c r="F231" s="3"/>
      <c r="G231" s="4"/>
      <c r="H231" s="3"/>
      <c r="I231" s="3"/>
      <c r="P231" s="3"/>
      <c r="Q231" s="3"/>
      <c r="R231" s="3"/>
      <c r="S231" s="3"/>
      <c r="T231" s="3"/>
      <c r="U231" s="3"/>
      <c r="AB231" s="3"/>
      <c r="AC231" s="3"/>
      <c r="AD231" s="3"/>
    </row>
    <row r="232" spans="1:30" s="2" customFormat="1">
      <c r="A232" s="3"/>
      <c r="B232" s="3"/>
      <c r="C232" s="3"/>
      <c r="D232" s="3"/>
      <c r="E232" s="3"/>
      <c r="F232" s="3"/>
      <c r="G232" s="4"/>
      <c r="H232" s="3"/>
      <c r="I232" s="3"/>
      <c r="P232" s="3"/>
      <c r="Q232" s="3"/>
      <c r="R232" s="3"/>
      <c r="S232" s="3"/>
      <c r="T232" s="3"/>
      <c r="U232" s="3"/>
      <c r="AB232" s="3"/>
      <c r="AC232" s="3"/>
      <c r="AD232" s="3"/>
    </row>
    <row r="233" spans="1:30" s="2" customFormat="1">
      <c r="A233" s="3"/>
      <c r="B233" s="3"/>
      <c r="C233" s="3"/>
      <c r="D233" s="3"/>
      <c r="E233" s="3"/>
      <c r="F233" s="3"/>
      <c r="G233" s="4"/>
      <c r="H233" s="3"/>
      <c r="I233" s="3"/>
      <c r="P233" s="3"/>
      <c r="Q233" s="3"/>
      <c r="R233" s="3"/>
      <c r="S233" s="3"/>
      <c r="T233" s="3"/>
      <c r="U233" s="3"/>
      <c r="AB233" s="3"/>
      <c r="AC233" s="3"/>
      <c r="AD233" s="3"/>
    </row>
    <row r="234" spans="1:30" s="2" customFormat="1">
      <c r="A234" s="3"/>
      <c r="B234" s="3"/>
      <c r="C234" s="3"/>
      <c r="D234" s="3"/>
      <c r="E234" s="3"/>
      <c r="F234" s="3"/>
      <c r="G234" s="4"/>
      <c r="H234" s="3"/>
      <c r="I234" s="3"/>
      <c r="P234" s="3"/>
      <c r="Q234" s="3"/>
      <c r="R234" s="3"/>
      <c r="S234" s="3"/>
      <c r="T234" s="3"/>
      <c r="U234" s="3"/>
      <c r="AB234" s="3"/>
      <c r="AC234" s="3"/>
      <c r="AD234" s="3"/>
    </row>
    <row r="235" spans="1:30" s="2" customFormat="1">
      <c r="A235" s="3"/>
      <c r="B235" s="3"/>
      <c r="C235" s="3"/>
      <c r="D235" s="3"/>
      <c r="E235" s="3"/>
      <c r="F235" s="3"/>
      <c r="G235" s="4"/>
      <c r="H235" s="3"/>
      <c r="I235" s="3"/>
      <c r="P235" s="3"/>
      <c r="Q235" s="3"/>
      <c r="R235" s="3"/>
      <c r="S235" s="3"/>
      <c r="T235" s="3"/>
      <c r="U235" s="3"/>
      <c r="AB235" s="3"/>
      <c r="AC235" s="3"/>
      <c r="AD235" s="3"/>
    </row>
    <row r="236" spans="1:30" s="2" customFormat="1">
      <c r="A236" s="3"/>
      <c r="B236" s="3"/>
      <c r="C236" s="3"/>
      <c r="D236" s="3"/>
      <c r="E236" s="3"/>
      <c r="F236" s="3"/>
      <c r="G236" s="4"/>
      <c r="H236" s="3"/>
      <c r="I236" s="3"/>
      <c r="P236" s="3"/>
      <c r="Q236" s="3"/>
      <c r="R236" s="3"/>
      <c r="S236" s="3"/>
      <c r="T236" s="3"/>
      <c r="U236" s="3"/>
      <c r="AB236" s="3"/>
      <c r="AC236" s="3"/>
      <c r="AD236" s="3"/>
    </row>
    <row r="237" spans="1:30" s="2" customFormat="1">
      <c r="A237" s="3"/>
      <c r="B237" s="3"/>
      <c r="C237" s="3"/>
      <c r="D237" s="3"/>
      <c r="E237" s="3"/>
      <c r="F237" s="3"/>
      <c r="G237" s="4"/>
      <c r="H237" s="3"/>
      <c r="I237" s="3"/>
      <c r="P237" s="3"/>
      <c r="Q237" s="3"/>
      <c r="R237" s="3"/>
      <c r="S237" s="3"/>
      <c r="T237" s="3"/>
      <c r="U237" s="3"/>
      <c r="AB237" s="3"/>
      <c r="AC237" s="3"/>
      <c r="AD237" s="3"/>
    </row>
    <row r="238" spans="1:30" s="2" customFormat="1">
      <c r="A238" s="3"/>
      <c r="B238" s="3"/>
      <c r="C238" s="3"/>
      <c r="D238" s="3"/>
      <c r="E238" s="3"/>
      <c r="F238" s="3"/>
      <c r="G238" s="4"/>
      <c r="H238" s="3"/>
      <c r="I238" s="3"/>
      <c r="P238" s="3"/>
      <c r="Q238" s="3"/>
      <c r="R238" s="3"/>
      <c r="S238" s="3"/>
      <c r="T238" s="3"/>
      <c r="U238" s="3"/>
      <c r="AB238" s="3"/>
      <c r="AC238" s="3"/>
      <c r="AD238" s="3"/>
    </row>
    <row r="239" spans="1:30" s="2" customFormat="1">
      <c r="A239" s="3"/>
      <c r="B239" s="3"/>
      <c r="C239" s="3"/>
      <c r="D239" s="3"/>
      <c r="E239" s="3"/>
      <c r="F239" s="3"/>
      <c r="G239" s="4"/>
      <c r="H239" s="3"/>
      <c r="I239" s="3"/>
      <c r="P239" s="3"/>
      <c r="Q239" s="3"/>
      <c r="R239" s="3"/>
      <c r="S239" s="3"/>
      <c r="T239" s="3"/>
      <c r="U239" s="3"/>
      <c r="AB239" s="3"/>
      <c r="AC239" s="3"/>
      <c r="AD239" s="3"/>
    </row>
    <row r="240" spans="1:30" s="2" customFormat="1">
      <c r="A240" s="3"/>
      <c r="B240" s="3"/>
      <c r="C240" s="3"/>
      <c r="D240" s="3"/>
      <c r="E240" s="3"/>
      <c r="F240" s="3"/>
      <c r="G240" s="4"/>
      <c r="H240" s="3"/>
      <c r="I240" s="3"/>
      <c r="P240" s="3"/>
      <c r="Q240" s="3"/>
      <c r="R240" s="3"/>
      <c r="S240" s="3"/>
      <c r="T240" s="3"/>
      <c r="U240" s="3"/>
      <c r="AB240" s="3"/>
      <c r="AC240" s="3"/>
      <c r="AD240" s="3"/>
    </row>
    <row r="241" spans="1:30" s="2" customFormat="1">
      <c r="A241" s="3"/>
      <c r="B241" s="3"/>
      <c r="C241" s="3"/>
      <c r="D241" s="3"/>
      <c r="E241" s="3"/>
      <c r="F241" s="3"/>
      <c r="G241" s="4"/>
      <c r="H241" s="3"/>
      <c r="I241" s="3"/>
      <c r="P241" s="3"/>
      <c r="Q241" s="3"/>
      <c r="R241" s="3"/>
      <c r="S241" s="3"/>
      <c r="T241" s="3"/>
      <c r="U241" s="3"/>
      <c r="AB241" s="3"/>
      <c r="AC241" s="3"/>
      <c r="AD241" s="3"/>
    </row>
    <row r="242" spans="1:30" s="2" customFormat="1">
      <c r="A242" s="3"/>
      <c r="B242" s="3"/>
      <c r="C242" s="3"/>
      <c r="D242" s="3"/>
      <c r="E242" s="3"/>
      <c r="F242" s="3"/>
      <c r="G242" s="4"/>
      <c r="H242" s="3"/>
      <c r="I242" s="3"/>
      <c r="P242" s="3"/>
      <c r="Q242" s="3"/>
      <c r="R242" s="3"/>
      <c r="S242" s="3"/>
      <c r="T242" s="3"/>
      <c r="U242" s="3"/>
      <c r="AB242" s="3"/>
      <c r="AC242" s="3"/>
      <c r="AD242" s="3"/>
    </row>
    <row r="243" spans="1:30" s="2" customFormat="1">
      <c r="A243" s="3"/>
      <c r="B243" s="3"/>
      <c r="C243" s="3"/>
      <c r="D243" s="3"/>
      <c r="E243" s="3"/>
      <c r="F243" s="3"/>
      <c r="G243" s="4"/>
      <c r="H243" s="3"/>
      <c r="I243" s="3"/>
      <c r="P243" s="3"/>
      <c r="Q243" s="3"/>
      <c r="R243" s="3"/>
      <c r="S243" s="3"/>
      <c r="T243" s="3"/>
      <c r="U243" s="3"/>
      <c r="AB243" s="3"/>
      <c r="AC243" s="3"/>
      <c r="AD243" s="3"/>
    </row>
    <row r="244" spans="1:30" s="2" customFormat="1">
      <c r="A244" s="3"/>
      <c r="B244" s="3"/>
      <c r="C244" s="3"/>
      <c r="D244" s="3"/>
      <c r="E244" s="3"/>
      <c r="F244" s="3"/>
      <c r="G244" s="4"/>
      <c r="H244" s="3"/>
      <c r="I244" s="3"/>
      <c r="P244" s="3"/>
      <c r="Q244" s="3"/>
      <c r="R244" s="3"/>
      <c r="S244" s="3"/>
      <c r="T244" s="3"/>
      <c r="U244" s="3"/>
      <c r="AB244" s="3"/>
      <c r="AC244" s="3"/>
      <c r="AD244" s="3"/>
    </row>
    <row r="245" spans="1:30" s="2" customFormat="1">
      <c r="A245" s="3"/>
      <c r="B245" s="3"/>
      <c r="C245" s="3"/>
      <c r="D245" s="3"/>
      <c r="E245" s="3"/>
      <c r="F245" s="3"/>
      <c r="G245" s="4"/>
      <c r="H245" s="3"/>
      <c r="I245" s="3"/>
      <c r="P245" s="3"/>
      <c r="Q245" s="3"/>
      <c r="R245" s="3"/>
      <c r="S245" s="3"/>
      <c r="T245" s="3"/>
      <c r="U245" s="3"/>
      <c r="AB245" s="3"/>
      <c r="AC245" s="3"/>
      <c r="AD245" s="3"/>
    </row>
    <row r="246" spans="1:30" s="2" customFormat="1">
      <c r="A246" s="3"/>
      <c r="B246" s="3"/>
      <c r="C246" s="3"/>
      <c r="D246" s="3"/>
      <c r="E246" s="3"/>
      <c r="F246" s="3"/>
      <c r="G246" s="4"/>
      <c r="H246" s="3"/>
      <c r="I246" s="3"/>
      <c r="P246" s="3"/>
      <c r="Q246" s="3"/>
      <c r="R246" s="3"/>
      <c r="S246" s="3"/>
      <c r="T246" s="3"/>
      <c r="U246" s="3"/>
      <c r="AB246" s="3"/>
      <c r="AC246" s="3"/>
      <c r="AD246" s="3"/>
    </row>
    <row r="247" spans="1:30" s="2" customFormat="1">
      <c r="A247" s="3"/>
      <c r="B247" s="3"/>
      <c r="C247" s="3"/>
      <c r="D247" s="3"/>
      <c r="E247" s="3"/>
      <c r="F247" s="3"/>
      <c r="G247" s="4"/>
      <c r="H247" s="3"/>
      <c r="I247" s="3"/>
      <c r="P247" s="3"/>
      <c r="Q247" s="3"/>
      <c r="R247" s="3"/>
      <c r="S247" s="3"/>
      <c r="T247" s="3"/>
      <c r="U247" s="3"/>
      <c r="AB247" s="3"/>
      <c r="AC247" s="3"/>
      <c r="AD247" s="3"/>
    </row>
    <row r="248" spans="1:30" s="2" customFormat="1">
      <c r="A248" s="3"/>
      <c r="B248" s="3"/>
      <c r="C248" s="3"/>
      <c r="D248" s="3"/>
      <c r="E248" s="3"/>
      <c r="F248" s="3"/>
      <c r="G248" s="4"/>
      <c r="H248" s="3"/>
      <c r="I248" s="3"/>
      <c r="P248" s="3"/>
      <c r="Q248" s="3"/>
      <c r="R248" s="3"/>
      <c r="S248" s="3"/>
      <c r="T248" s="3"/>
      <c r="U248" s="3"/>
      <c r="AB248" s="3"/>
      <c r="AC248" s="3"/>
      <c r="AD248" s="3"/>
    </row>
    <row r="249" spans="1:30" s="2" customFormat="1">
      <c r="A249" s="3"/>
      <c r="B249" s="3"/>
      <c r="C249" s="3"/>
      <c r="D249" s="3"/>
      <c r="E249" s="3"/>
      <c r="F249" s="3"/>
      <c r="G249" s="4"/>
      <c r="H249" s="3"/>
      <c r="I249" s="3"/>
      <c r="P249" s="3"/>
      <c r="Q249" s="3"/>
      <c r="R249" s="3"/>
      <c r="S249" s="3"/>
      <c r="T249" s="3"/>
      <c r="U249" s="3"/>
      <c r="AB249" s="3"/>
      <c r="AC249" s="3"/>
      <c r="AD249" s="3"/>
    </row>
    <row r="250" spans="1:30" s="2" customFormat="1">
      <c r="A250" s="3"/>
      <c r="B250" s="3"/>
      <c r="C250" s="3"/>
      <c r="D250" s="3"/>
      <c r="E250" s="3"/>
      <c r="F250" s="3"/>
      <c r="G250" s="4"/>
      <c r="H250" s="3"/>
      <c r="I250" s="3"/>
      <c r="P250" s="3"/>
      <c r="Q250" s="3"/>
      <c r="R250" s="3"/>
      <c r="S250" s="3"/>
      <c r="T250" s="3"/>
      <c r="U250" s="3"/>
      <c r="AB250" s="3"/>
      <c r="AC250" s="3"/>
      <c r="AD250" s="3"/>
    </row>
    <row r="251" spans="1:30" s="2" customFormat="1">
      <c r="A251" s="3"/>
      <c r="B251" s="3"/>
      <c r="C251" s="3"/>
      <c r="D251" s="3"/>
      <c r="E251" s="3"/>
      <c r="F251" s="3"/>
      <c r="G251" s="4"/>
      <c r="H251" s="3"/>
      <c r="I251" s="3"/>
      <c r="P251" s="3"/>
      <c r="Q251" s="3"/>
      <c r="R251" s="3"/>
      <c r="S251" s="3"/>
      <c r="T251" s="3"/>
      <c r="U251" s="3"/>
      <c r="AB251" s="3"/>
      <c r="AC251" s="3"/>
      <c r="AD251" s="3"/>
    </row>
    <row r="252" spans="1:30" s="2" customFormat="1">
      <c r="A252" s="3"/>
      <c r="B252" s="3"/>
      <c r="C252" s="3"/>
      <c r="D252" s="3"/>
      <c r="E252" s="3"/>
      <c r="F252" s="3"/>
      <c r="G252" s="4"/>
      <c r="H252" s="3"/>
      <c r="I252" s="3"/>
      <c r="P252" s="3"/>
      <c r="Q252" s="3"/>
      <c r="R252" s="3"/>
      <c r="S252" s="3"/>
      <c r="T252" s="3"/>
      <c r="U252" s="3"/>
      <c r="AB252" s="3"/>
      <c r="AC252" s="3"/>
      <c r="AD252" s="3"/>
    </row>
    <row r="253" spans="1:30" s="2" customFormat="1">
      <c r="A253" s="3"/>
      <c r="B253" s="3"/>
      <c r="C253" s="3"/>
      <c r="D253" s="3"/>
      <c r="E253" s="3"/>
      <c r="F253" s="3"/>
      <c r="G253" s="4"/>
      <c r="H253" s="3"/>
      <c r="I253" s="3"/>
      <c r="P253" s="3"/>
      <c r="Q253" s="3"/>
      <c r="R253" s="3"/>
      <c r="S253" s="3"/>
      <c r="T253" s="3"/>
      <c r="U253" s="3"/>
      <c r="AB253" s="3"/>
      <c r="AC253" s="3"/>
      <c r="AD253" s="3"/>
    </row>
    <row r="254" spans="1:30" s="2" customFormat="1">
      <c r="A254" s="3"/>
      <c r="B254" s="3"/>
      <c r="C254" s="3"/>
      <c r="D254" s="3"/>
      <c r="E254" s="3"/>
      <c r="F254" s="3"/>
      <c r="G254" s="4"/>
      <c r="H254" s="3"/>
      <c r="I254" s="3"/>
      <c r="P254" s="3"/>
      <c r="Q254" s="3"/>
      <c r="R254" s="3"/>
      <c r="S254" s="3"/>
      <c r="T254" s="3"/>
      <c r="U254" s="3"/>
      <c r="AB254" s="3"/>
      <c r="AC254" s="3"/>
      <c r="AD254" s="3"/>
    </row>
    <row r="255" spans="1:30" s="2" customFormat="1">
      <c r="A255" s="3"/>
      <c r="B255" s="3"/>
      <c r="C255" s="3"/>
      <c r="D255" s="3"/>
      <c r="E255" s="3"/>
      <c r="F255" s="3"/>
      <c r="G255" s="4"/>
      <c r="H255" s="3"/>
      <c r="I255" s="3"/>
      <c r="P255" s="3"/>
      <c r="Q255" s="3"/>
      <c r="R255" s="3"/>
      <c r="S255" s="3"/>
      <c r="T255" s="3"/>
      <c r="U255" s="3"/>
      <c r="AB255" s="3"/>
      <c r="AC255" s="3"/>
      <c r="AD255" s="3"/>
    </row>
    <row r="256" spans="1:30" s="2" customFormat="1">
      <c r="A256" s="3"/>
      <c r="B256" s="3"/>
      <c r="C256" s="3"/>
      <c r="D256" s="3"/>
      <c r="E256" s="3"/>
      <c r="F256" s="3"/>
      <c r="G256" s="4"/>
      <c r="H256" s="3"/>
      <c r="I256" s="3"/>
      <c r="P256" s="3"/>
      <c r="Q256" s="3"/>
      <c r="R256" s="3"/>
      <c r="S256" s="3"/>
      <c r="T256" s="3"/>
      <c r="U256" s="3"/>
      <c r="AB256" s="3"/>
      <c r="AC256" s="3"/>
      <c r="AD256" s="3"/>
    </row>
    <row r="257" spans="1:30" s="2" customFormat="1">
      <c r="A257" s="3"/>
      <c r="B257" s="3"/>
      <c r="C257" s="3"/>
      <c r="D257" s="3"/>
      <c r="E257" s="3"/>
      <c r="F257" s="3"/>
      <c r="G257" s="4"/>
      <c r="H257" s="3"/>
      <c r="I257" s="3"/>
      <c r="P257" s="3"/>
      <c r="Q257" s="3"/>
      <c r="R257" s="3"/>
      <c r="S257" s="3"/>
      <c r="T257" s="3"/>
      <c r="U257" s="3"/>
      <c r="AB257" s="3"/>
      <c r="AC257" s="3"/>
      <c r="AD257" s="3"/>
    </row>
    <row r="258" spans="1:30" s="2" customFormat="1">
      <c r="A258" s="3"/>
      <c r="B258" s="3"/>
      <c r="C258" s="3"/>
      <c r="D258" s="3"/>
      <c r="E258" s="3"/>
      <c r="F258" s="3"/>
      <c r="G258" s="4"/>
      <c r="H258" s="3"/>
      <c r="I258" s="3"/>
      <c r="P258" s="3"/>
      <c r="Q258" s="3"/>
      <c r="R258" s="3"/>
      <c r="S258" s="3"/>
      <c r="T258" s="3"/>
      <c r="U258" s="3"/>
      <c r="AB258" s="3"/>
      <c r="AC258" s="3"/>
      <c r="AD258" s="3"/>
    </row>
    <row r="259" spans="1:30" s="2" customFormat="1">
      <c r="A259" s="3"/>
      <c r="B259" s="3"/>
      <c r="C259" s="3"/>
      <c r="D259" s="3"/>
      <c r="E259" s="3"/>
      <c r="F259" s="3"/>
      <c r="G259" s="4"/>
      <c r="H259" s="3"/>
      <c r="I259" s="3"/>
      <c r="P259" s="3"/>
      <c r="Q259" s="3"/>
      <c r="R259" s="3"/>
      <c r="S259" s="3"/>
      <c r="T259" s="3"/>
      <c r="U259" s="3"/>
      <c r="AB259" s="3"/>
      <c r="AC259" s="3"/>
      <c r="AD259" s="3"/>
    </row>
    <row r="260" spans="1:30" s="2" customFormat="1">
      <c r="A260" s="3"/>
      <c r="B260" s="3"/>
      <c r="C260" s="3"/>
      <c r="D260" s="3"/>
      <c r="E260" s="3"/>
      <c r="F260" s="3"/>
      <c r="G260" s="4"/>
      <c r="H260" s="3"/>
      <c r="I260" s="3"/>
      <c r="P260" s="3"/>
      <c r="Q260" s="3"/>
      <c r="R260" s="3"/>
      <c r="S260" s="3"/>
      <c r="T260" s="3"/>
      <c r="U260" s="3"/>
      <c r="AB260" s="3"/>
      <c r="AC260" s="3"/>
      <c r="AD260" s="3"/>
    </row>
    <row r="261" spans="1:30" s="2" customFormat="1">
      <c r="A261" s="3"/>
      <c r="B261" s="3"/>
      <c r="C261" s="3"/>
      <c r="D261" s="3"/>
      <c r="E261" s="3"/>
      <c r="F261" s="3"/>
      <c r="G261" s="4"/>
      <c r="H261" s="3"/>
      <c r="I261" s="3"/>
      <c r="P261" s="3"/>
      <c r="Q261" s="3"/>
      <c r="R261" s="3"/>
      <c r="S261" s="3"/>
      <c r="T261" s="3"/>
      <c r="U261" s="3"/>
      <c r="AB261" s="3"/>
      <c r="AC261" s="3"/>
      <c r="AD261" s="3"/>
    </row>
    <row r="262" spans="1:30" s="2" customFormat="1">
      <c r="A262" s="3"/>
      <c r="B262" s="3"/>
      <c r="C262" s="3"/>
      <c r="D262" s="3"/>
      <c r="E262" s="3"/>
      <c r="F262" s="3"/>
      <c r="G262" s="4"/>
      <c r="H262" s="3"/>
      <c r="I262" s="3"/>
      <c r="P262" s="3"/>
      <c r="Q262" s="3"/>
      <c r="R262" s="3"/>
      <c r="S262" s="3"/>
      <c r="T262" s="3"/>
      <c r="U262" s="3"/>
      <c r="AB262" s="3"/>
      <c r="AC262" s="3"/>
      <c r="AD262" s="3"/>
    </row>
    <row r="263" spans="1:30" s="2" customFormat="1">
      <c r="A263" s="3"/>
      <c r="B263" s="3"/>
      <c r="C263" s="3"/>
      <c r="D263" s="3"/>
      <c r="E263" s="3"/>
      <c r="F263" s="3"/>
      <c r="G263" s="4"/>
      <c r="H263" s="3"/>
      <c r="I263" s="3"/>
      <c r="P263" s="3"/>
      <c r="Q263" s="3"/>
      <c r="R263" s="3"/>
      <c r="S263" s="3"/>
      <c r="T263" s="3"/>
      <c r="U263" s="3"/>
      <c r="AB263" s="3"/>
      <c r="AC263" s="3"/>
      <c r="AD263" s="3"/>
    </row>
    <row r="264" spans="1:30" s="2" customFormat="1">
      <c r="A264" s="3"/>
      <c r="B264" s="3"/>
      <c r="C264" s="3"/>
      <c r="D264" s="3"/>
      <c r="E264" s="3"/>
      <c r="F264" s="3"/>
      <c r="G264" s="4"/>
      <c r="H264" s="3"/>
      <c r="I264" s="3"/>
      <c r="P264" s="3"/>
      <c r="Q264" s="3"/>
      <c r="R264" s="3"/>
      <c r="S264" s="3"/>
      <c r="T264" s="3"/>
      <c r="U264" s="3"/>
      <c r="AB264" s="3"/>
      <c r="AC264" s="3"/>
      <c r="AD264" s="3"/>
    </row>
    <row r="265" spans="1:30" s="2" customFormat="1">
      <c r="A265" s="3"/>
      <c r="B265" s="3"/>
      <c r="C265" s="3"/>
      <c r="D265" s="3"/>
      <c r="E265" s="3"/>
      <c r="F265" s="3"/>
      <c r="G265" s="4"/>
      <c r="H265" s="3"/>
      <c r="I265" s="3"/>
      <c r="P265" s="3"/>
      <c r="Q265" s="3"/>
      <c r="R265" s="3"/>
      <c r="S265" s="3"/>
      <c r="T265" s="3"/>
      <c r="U265" s="3"/>
      <c r="AB265" s="3"/>
      <c r="AC265" s="3"/>
      <c r="AD265" s="3"/>
    </row>
    <row r="266" spans="1:30" s="2" customFormat="1">
      <c r="A266" s="3"/>
      <c r="B266" s="3"/>
      <c r="C266" s="3"/>
      <c r="D266" s="3"/>
      <c r="E266" s="3"/>
      <c r="F266" s="3"/>
      <c r="G266" s="4"/>
      <c r="H266" s="3"/>
      <c r="I266" s="3"/>
      <c r="P266" s="3"/>
      <c r="Q266" s="3"/>
      <c r="R266" s="3"/>
      <c r="S266" s="3"/>
      <c r="T266" s="3"/>
      <c r="U266" s="3"/>
      <c r="AB266" s="3"/>
      <c r="AC266" s="3"/>
      <c r="AD266" s="3"/>
    </row>
    <row r="267" spans="1:30" s="2" customFormat="1">
      <c r="A267" s="3"/>
      <c r="B267" s="3"/>
      <c r="C267" s="3"/>
      <c r="D267" s="3"/>
      <c r="E267" s="3"/>
      <c r="F267" s="3"/>
      <c r="G267" s="4"/>
      <c r="H267" s="3"/>
      <c r="I267" s="3"/>
      <c r="P267" s="3"/>
      <c r="Q267" s="3"/>
      <c r="R267" s="3"/>
      <c r="S267" s="3"/>
      <c r="T267" s="3"/>
      <c r="U267" s="3"/>
      <c r="AB267" s="3"/>
      <c r="AC267" s="3"/>
      <c r="AD267" s="3"/>
    </row>
    <row r="268" spans="1:30" s="2" customFormat="1">
      <c r="A268" s="3"/>
      <c r="B268" s="3"/>
      <c r="C268" s="3"/>
      <c r="D268" s="3"/>
      <c r="E268" s="3"/>
      <c r="F268" s="3"/>
      <c r="G268" s="4"/>
      <c r="H268" s="3"/>
      <c r="I268" s="3"/>
      <c r="P268" s="3"/>
      <c r="Q268" s="3"/>
      <c r="R268" s="3"/>
      <c r="S268" s="3"/>
      <c r="T268" s="3"/>
      <c r="U268" s="3"/>
      <c r="AB268" s="3"/>
      <c r="AC268" s="3"/>
      <c r="AD268" s="3"/>
    </row>
    <row r="269" spans="1:30" s="2" customFormat="1">
      <c r="A269" s="3"/>
      <c r="B269" s="3"/>
      <c r="C269" s="3"/>
      <c r="D269" s="3"/>
      <c r="E269" s="3"/>
      <c r="F269" s="3"/>
      <c r="G269" s="4"/>
      <c r="H269" s="3"/>
      <c r="I269" s="3"/>
      <c r="P269" s="3"/>
      <c r="Q269" s="3"/>
      <c r="R269" s="3"/>
      <c r="S269" s="3"/>
      <c r="T269" s="3"/>
      <c r="U269" s="3"/>
      <c r="AB269" s="3"/>
      <c r="AC269" s="3"/>
      <c r="AD269" s="3"/>
    </row>
    <row r="270" spans="1:30" s="2" customFormat="1">
      <c r="A270" s="3"/>
      <c r="B270" s="3"/>
      <c r="C270" s="3"/>
      <c r="D270" s="3"/>
      <c r="E270" s="3"/>
      <c r="F270" s="3"/>
      <c r="G270" s="4"/>
      <c r="H270" s="3"/>
      <c r="I270" s="3"/>
      <c r="P270" s="3"/>
      <c r="Q270" s="3"/>
      <c r="R270" s="3"/>
      <c r="S270" s="3"/>
      <c r="T270" s="3"/>
      <c r="U270" s="3"/>
      <c r="AB270" s="3"/>
      <c r="AC270" s="3"/>
      <c r="AD270" s="3"/>
    </row>
    <row r="271" spans="1:30" s="2" customFormat="1">
      <c r="A271" s="3"/>
      <c r="B271" s="3"/>
      <c r="C271" s="3"/>
      <c r="D271" s="3"/>
      <c r="E271" s="3"/>
      <c r="F271" s="3"/>
      <c r="G271" s="4"/>
      <c r="H271" s="3"/>
      <c r="I271" s="3"/>
      <c r="P271" s="3"/>
      <c r="Q271" s="3"/>
      <c r="R271" s="3"/>
      <c r="S271" s="3"/>
      <c r="T271" s="3"/>
      <c r="U271" s="3"/>
      <c r="AB271" s="3"/>
      <c r="AC271" s="3"/>
      <c r="AD271" s="3"/>
    </row>
    <row r="272" spans="1:30" s="2" customFormat="1">
      <c r="A272" s="3"/>
      <c r="B272" s="3"/>
      <c r="C272" s="3"/>
      <c r="D272" s="3"/>
      <c r="E272" s="3"/>
      <c r="F272" s="3"/>
      <c r="G272" s="4"/>
      <c r="H272" s="3"/>
      <c r="I272" s="3"/>
      <c r="P272" s="3"/>
      <c r="Q272" s="3"/>
      <c r="R272" s="3"/>
      <c r="S272" s="3"/>
      <c r="T272" s="3"/>
      <c r="U272" s="3"/>
      <c r="AB272" s="3"/>
      <c r="AC272" s="3"/>
      <c r="AD272" s="3"/>
    </row>
    <row r="273" spans="1:30" s="2" customFormat="1">
      <c r="A273" s="3"/>
      <c r="B273" s="3"/>
      <c r="C273" s="3"/>
      <c r="D273" s="3"/>
      <c r="E273" s="3"/>
      <c r="F273" s="3"/>
      <c r="G273" s="4"/>
      <c r="H273" s="3"/>
      <c r="I273" s="3"/>
      <c r="P273" s="3"/>
      <c r="Q273" s="3"/>
      <c r="R273" s="3"/>
      <c r="S273" s="3"/>
      <c r="T273" s="3"/>
      <c r="U273" s="3"/>
      <c r="AB273" s="3"/>
      <c r="AC273" s="3"/>
      <c r="AD273" s="3"/>
    </row>
    <row r="274" spans="1:30" s="2" customFormat="1">
      <c r="A274" s="3"/>
      <c r="B274" s="3"/>
      <c r="C274" s="3"/>
      <c r="D274" s="3"/>
      <c r="E274" s="3"/>
      <c r="F274" s="3"/>
      <c r="G274" s="4"/>
      <c r="H274" s="3"/>
      <c r="I274" s="3"/>
      <c r="P274" s="3"/>
      <c r="Q274" s="3"/>
      <c r="R274" s="3"/>
      <c r="S274" s="3"/>
      <c r="T274" s="3"/>
      <c r="U274" s="3"/>
      <c r="AB274" s="3"/>
      <c r="AC274" s="3"/>
      <c r="AD274" s="3"/>
    </row>
    <row r="275" spans="1:30" s="2" customFormat="1">
      <c r="A275" s="3"/>
      <c r="B275" s="3"/>
      <c r="C275" s="3"/>
      <c r="D275" s="3"/>
      <c r="E275" s="3"/>
      <c r="F275" s="3"/>
      <c r="G275" s="4"/>
      <c r="H275" s="3"/>
      <c r="I275" s="3"/>
      <c r="P275" s="3"/>
      <c r="Q275" s="3"/>
      <c r="R275" s="3"/>
      <c r="S275" s="3"/>
      <c r="T275" s="3"/>
      <c r="U275" s="3"/>
      <c r="AB275" s="3"/>
      <c r="AC275" s="3"/>
      <c r="AD275" s="3"/>
    </row>
    <row r="276" spans="1:30" s="2" customFormat="1">
      <c r="A276" s="3"/>
      <c r="B276" s="3"/>
      <c r="C276" s="3"/>
      <c r="D276" s="3"/>
      <c r="E276" s="3"/>
      <c r="F276" s="3"/>
      <c r="G276" s="4"/>
      <c r="H276" s="3"/>
      <c r="I276" s="3"/>
      <c r="P276" s="3"/>
      <c r="Q276" s="3"/>
      <c r="R276" s="3"/>
      <c r="S276" s="3"/>
      <c r="T276" s="3"/>
      <c r="U276" s="3"/>
      <c r="AB276" s="3"/>
      <c r="AC276" s="3"/>
      <c r="AD276" s="3"/>
    </row>
    <row r="277" spans="1:30" s="2" customFormat="1">
      <c r="A277" s="3"/>
      <c r="B277" s="3"/>
      <c r="C277" s="3"/>
      <c r="D277" s="3"/>
      <c r="E277" s="3"/>
      <c r="F277" s="3"/>
      <c r="G277" s="4"/>
      <c r="H277" s="3"/>
      <c r="I277" s="3"/>
      <c r="P277" s="3"/>
      <c r="Q277" s="3"/>
      <c r="R277" s="3"/>
      <c r="S277" s="3"/>
      <c r="T277" s="3"/>
      <c r="U277" s="3"/>
      <c r="AB277" s="3"/>
      <c r="AC277" s="3"/>
      <c r="AD277" s="3"/>
    </row>
    <row r="278" spans="1:30" s="2" customFormat="1">
      <c r="A278" s="3"/>
      <c r="B278" s="3"/>
      <c r="C278" s="3"/>
      <c r="D278" s="3"/>
      <c r="E278" s="3"/>
      <c r="F278" s="3"/>
      <c r="G278" s="4"/>
      <c r="H278" s="3"/>
      <c r="I278" s="3"/>
      <c r="P278" s="3"/>
      <c r="Q278" s="3"/>
      <c r="R278" s="3"/>
      <c r="S278" s="3"/>
      <c r="T278" s="3"/>
      <c r="U278" s="3"/>
      <c r="AB278" s="3"/>
      <c r="AC278" s="3"/>
      <c r="AD278" s="3"/>
    </row>
    <row r="279" spans="1:30" s="2" customFormat="1">
      <c r="A279" s="3"/>
      <c r="B279" s="3"/>
      <c r="C279" s="3"/>
      <c r="D279" s="3"/>
      <c r="E279" s="3"/>
      <c r="F279" s="3"/>
      <c r="G279" s="4"/>
      <c r="H279" s="3"/>
      <c r="I279" s="3"/>
      <c r="P279" s="3"/>
      <c r="Q279" s="3"/>
      <c r="R279" s="3"/>
      <c r="S279" s="3"/>
      <c r="T279" s="3"/>
      <c r="U279" s="3"/>
      <c r="AB279" s="3"/>
      <c r="AC279" s="3"/>
      <c r="AD279" s="3"/>
    </row>
    <row r="280" spans="1:30" s="2" customFormat="1">
      <c r="A280" s="3"/>
      <c r="B280" s="3"/>
      <c r="C280" s="3"/>
      <c r="D280" s="3"/>
      <c r="E280" s="3"/>
      <c r="F280" s="3"/>
      <c r="G280" s="4"/>
      <c r="H280" s="3"/>
      <c r="I280" s="3"/>
      <c r="P280" s="3"/>
      <c r="Q280" s="3"/>
      <c r="R280" s="3"/>
      <c r="S280" s="3"/>
      <c r="T280" s="3"/>
      <c r="U280" s="3"/>
      <c r="AB280" s="3"/>
      <c r="AC280" s="3"/>
      <c r="AD280" s="3"/>
    </row>
    <row r="281" spans="1:30" s="2" customFormat="1">
      <c r="A281" s="3"/>
      <c r="B281" s="3"/>
      <c r="C281" s="3"/>
      <c r="D281" s="3"/>
      <c r="E281" s="3"/>
      <c r="F281" s="3"/>
      <c r="G281" s="4"/>
      <c r="H281" s="3"/>
      <c r="I281" s="3"/>
      <c r="P281" s="3"/>
      <c r="Q281" s="3"/>
      <c r="R281" s="3"/>
      <c r="S281" s="3"/>
      <c r="T281" s="3"/>
      <c r="U281" s="3"/>
      <c r="AB281" s="3"/>
      <c r="AC281" s="3"/>
      <c r="AD281" s="3"/>
    </row>
    <row r="282" spans="1:30" s="2" customFormat="1">
      <c r="A282" s="3"/>
      <c r="B282" s="3"/>
      <c r="C282" s="3"/>
      <c r="D282" s="3"/>
      <c r="E282" s="3"/>
      <c r="F282" s="3"/>
      <c r="G282" s="4"/>
      <c r="H282" s="3"/>
      <c r="I282" s="3"/>
      <c r="P282" s="3"/>
      <c r="Q282" s="3"/>
      <c r="R282" s="3"/>
      <c r="S282" s="3"/>
      <c r="T282" s="3"/>
      <c r="U282" s="3"/>
      <c r="AB282" s="3"/>
      <c r="AC282" s="3"/>
      <c r="AD282" s="3"/>
    </row>
    <row r="283" spans="1:30" s="2" customFormat="1">
      <c r="A283" s="3"/>
      <c r="B283" s="3"/>
      <c r="C283" s="3"/>
      <c r="D283" s="3"/>
      <c r="E283" s="3"/>
      <c r="F283" s="3"/>
      <c r="G283" s="4"/>
      <c r="H283" s="3"/>
      <c r="I283" s="3"/>
      <c r="P283" s="3"/>
      <c r="Q283" s="3"/>
      <c r="R283" s="3"/>
      <c r="S283" s="3"/>
      <c r="T283" s="3"/>
      <c r="U283" s="3"/>
      <c r="AB283" s="3"/>
      <c r="AC283" s="3"/>
      <c r="AD283" s="3"/>
    </row>
    <row r="284" spans="1:30" s="2" customFormat="1">
      <c r="A284" s="3"/>
      <c r="B284" s="3"/>
      <c r="C284" s="3"/>
      <c r="D284" s="3"/>
      <c r="E284" s="3"/>
      <c r="F284" s="3"/>
      <c r="G284" s="4"/>
      <c r="H284" s="3"/>
      <c r="I284" s="3"/>
      <c r="P284" s="3"/>
      <c r="Q284" s="3"/>
      <c r="R284" s="3"/>
      <c r="S284" s="3"/>
      <c r="T284" s="3"/>
      <c r="U284" s="3"/>
      <c r="AB284" s="3"/>
      <c r="AC284" s="3"/>
      <c r="AD284" s="3"/>
    </row>
    <row r="285" spans="1:30" s="2" customFormat="1">
      <c r="A285" s="3"/>
      <c r="B285" s="3"/>
      <c r="C285" s="3"/>
      <c r="D285" s="3"/>
      <c r="E285" s="3"/>
      <c r="F285" s="3"/>
      <c r="G285" s="4"/>
      <c r="H285" s="3"/>
      <c r="I285" s="3"/>
      <c r="P285" s="3"/>
      <c r="Q285" s="3"/>
      <c r="R285" s="3"/>
      <c r="S285" s="3"/>
      <c r="T285" s="3"/>
      <c r="U285" s="3"/>
      <c r="AB285" s="3"/>
      <c r="AC285" s="3"/>
      <c r="AD285" s="3"/>
    </row>
    <row r="286" spans="1:30" s="2" customFormat="1">
      <c r="A286" s="3"/>
      <c r="B286" s="3"/>
      <c r="C286" s="3"/>
      <c r="D286" s="3"/>
      <c r="E286" s="3"/>
      <c r="F286" s="3"/>
      <c r="G286" s="4"/>
      <c r="H286" s="3"/>
      <c r="I286" s="3"/>
      <c r="P286" s="3"/>
      <c r="Q286" s="3"/>
      <c r="R286" s="3"/>
      <c r="S286" s="3"/>
      <c r="T286" s="3"/>
      <c r="U286" s="3"/>
      <c r="AB286" s="3"/>
      <c r="AC286" s="3"/>
      <c r="AD286" s="3"/>
    </row>
    <row r="287" spans="1:30" s="2" customFormat="1">
      <c r="A287" s="3"/>
      <c r="B287" s="3"/>
      <c r="C287" s="3"/>
      <c r="D287" s="3"/>
      <c r="E287" s="3"/>
      <c r="F287" s="3"/>
      <c r="G287" s="4"/>
      <c r="H287" s="3"/>
      <c r="I287" s="3"/>
      <c r="P287" s="3"/>
      <c r="Q287" s="3"/>
      <c r="R287" s="3"/>
      <c r="S287" s="3"/>
      <c r="T287" s="3"/>
      <c r="U287" s="3"/>
      <c r="AB287" s="3"/>
      <c r="AC287" s="3"/>
      <c r="AD287" s="3"/>
    </row>
    <row r="288" spans="1:30" s="2" customFormat="1">
      <c r="A288" s="3"/>
      <c r="B288" s="3"/>
      <c r="C288" s="3"/>
      <c r="D288" s="3"/>
      <c r="E288" s="3"/>
      <c r="F288" s="3"/>
      <c r="G288" s="4"/>
      <c r="H288" s="3"/>
      <c r="I288" s="3"/>
      <c r="P288" s="3"/>
      <c r="Q288" s="3"/>
      <c r="R288" s="3"/>
      <c r="S288" s="3"/>
      <c r="T288" s="3"/>
      <c r="U288" s="3"/>
      <c r="AB288" s="3"/>
      <c r="AC288" s="3"/>
      <c r="AD288" s="3"/>
    </row>
    <row r="289" spans="1:30" s="2" customFormat="1">
      <c r="A289" s="3"/>
      <c r="B289" s="3"/>
      <c r="C289" s="3"/>
      <c r="D289" s="3"/>
      <c r="E289" s="3"/>
      <c r="F289" s="3"/>
      <c r="G289" s="4"/>
      <c r="H289" s="3"/>
      <c r="I289" s="3"/>
      <c r="P289" s="3"/>
      <c r="Q289" s="3"/>
      <c r="R289" s="3"/>
      <c r="S289" s="3"/>
      <c r="T289" s="3"/>
      <c r="U289" s="3"/>
      <c r="AB289" s="3"/>
      <c r="AC289" s="3"/>
      <c r="AD289" s="3"/>
    </row>
    <row r="290" spans="1:30" s="2" customFormat="1">
      <c r="A290" s="3"/>
      <c r="B290" s="3"/>
      <c r="C290" s="3"/>
      <c r="D290" s="3"/>
      <c r="E290" s="3"/>
      <c r="F290" s="3"/>
      <c r="G290" s="4"/>
      <c r="H290" s="3"/>
      <c r="I290" s="3"/>
      <c r="P290" s="3"/>
      <c r="Q290" s="3"/>
      <c r="R290" s="3"/>
      <c r="S290" s="3"/>
      <c r="T290" s="3"/>
      <c r="U290" s="3"/>
      <c r="AB290" s="3"/>
      <c r="AC290" s="3"/>
      <c r="AD290" s="3"/>
    </row>
    <row r="291" spans="1:30" s="2" customFormat="1">
      <c r="A291" s="3"/>
      <c r="B291" s="3"/>
      <c r="C291" s="3"/>
      <c r="D291" s="3"/>
      <c r="E291" s="3"/>
      <c r="F291" s="3"/>
      <c r="G291" s="4"/>
      <c r="H291" s="3"/>
      <c r="I291" s="3"/>
      <c r="P291" s="3"/>
      <c r="Q291" s="3"/>
      <c r="R291" s="3"/>
      <c r="S291" s="3"/>
      <c r="T291" s="3"/>
      <c r="U291" s="3"/>
      <c r="AB291" s="3"/>
      <c r="AC291" s="3"/>
      <c r="AD291" s="3"/>
    </row>
    <row r="292" spans="1:30" s="2" customFormat="1">
      <c r="A292" s="3"/>
      <c r="B292" s="3"/>
      <c r="C292" s="3"/>
      <c r="D292" s="3"/>
      <c r="E292" s="3"/>
      <c r="F292" s="3"/>
      <c r="G292" s="4"/>
      <c r="H292" s="3"/>
      <c r="I292" s="3"/>
      <c r="P292" s="3"/>
      <c r="Q292" s="3"/>
      <c r="R292" s="3"/>
      <c r="S292" s="3"/>
      <c r="T292" s="3"/>
      <c r="U292" s="3"/>
      <c r="AB292" s="3"/>
      <c r="AC292" s="3"/>
      <c r="AD292" s="3"/>
    </row>
    <row r="293" spans="1:30" s="2" customFormat="1">
      <c r="A293" s="3"/>
      <c r="B293" s="3"/>
      <c r="C293" s="3"/>
      <c r="D293" s="3"/>
      <c r="E293" s="3"/>
      <c r="F293" s="3"/>
      <c r="G293" s="4"/>
      <c r="H293" s="3"/>
      <c r="I293" s="3"/>
      <c r="P293" s="3"/>
      <c r="Q293" s="3"/>
      <c r="R293" s="3"/>
      <c r="S293" s="3"/>
      <c r="T293" s="3"/>
      <c r="U293" s="3"/>
      <c r="AB293" s="3"/>
      <c r="AC293" s="3"/>
      <c r="AD293" s="3"/>
    </row>
    <row r="294" spans="1:30" s="2" customFormat="1">
      <c r="A294" s="3"/>
      <c r="B294" s="3"/>
      <c r="C294" s="3"/>
      <c r="D294" s="3"/>
      <c r="E294" s="3"/>
      <c r="F294" s="3"/>
      <c r="G294" s="4"/>
      <c r="H294" s="3"/>
      <c r="I294" s="3"/>
      <c r="P294" s="3"/>
      <c r="Q294" s="3"/>
      <c r="R294" s="3"/>
      <c r="S294" s="3"/>
      <c r="T294" s="3"/>
      <c r="U294" s="3"/>
      <c r="AB294" s="3"/>
      <c r="AC294" s="3"/>
      <c r="AD294" s="3"/>
    </row>
    <row r="295" spans="1:30" s="2" customFormat="1">
      <c r="A295" s="3"/>
      <c r="B295" s="3"/>
      <c r="C295" s="3"/>
      <c r="D295" s="3"/>
      <c r="E295" s="3"/>
      <c r="F295" s="3"/>
      <c r="G295" s="4"/>
      <c r="H295" s="3"/>
      <c r="I295" s="3"/>
      <c r="P295" s="3"/>
      <c r="Q295" s="3"/>
      <c r="R295" s="3"/>
      <c r="S295" s="3"/>
      <c r="T295" s="3"/>
      <c r="U295" s="3"/>
      <c r="AB295" s="3"/>
      <c r="AC295" s="3"/>
      <c r="AD295" s="3"/>
    </row>
    <row r="296" spans="1:30" s="2" customFormat="1">
      <c r="A296" s="3"/>
      <c r="B296" s="3"/>
      <c r="C296" s="3"/>
      <c r="D296" s="3"/>
      <c r="E296" s="3"/>
      <c r="F296" s="3"/>
      <c r="G296" s="4"/>
      <c r="H296" s="3"/>
      <c r="I296" s="3"/>
      <c r="P296" s="3"/>
      <c r="Q296" s="3"/>
      <c r="R296" s="3"/>
      <c r="S296" s="3"/>
      <c r="T296" s="3"/>
      <c r="U296" s="3"/>
      <c r="AB296" s="3"/>
      <c r="AC296" s="3"/>
      <c r="AD296" s="3"/>
    </row>
    <row r="297" spans="1:30" s="2" customFormat="1">
      <c r="A297" s="3"/>
      <c r="B297" s="3"/>
      <c r="C297" s="3"/>
      <c r="D297" s="3"/>
      <c r="E297" s="3"/>
      <c r="F297" s="3"/>
      <c r="G297" s="4"/>
      <c r="H297" s="3"/>
      <c r="I297" s="3"/>
      <c r="P297" s="3"/>
      <c r="Q297" s="3"/>
      <c r="R297" s="3"/>
      <c r="S297" s="3"/>
      <c r="T297" s="3"/>
      <c r="U297" s="3"/>
      <c r="AB297" s="3"/>
      <c r="AC297" s="3"/>
      <c r="AD297" s="3"/>
    </row>
    <row r="298" spans="1:30" s="2" customFormat="1">
      <c r="A298" s="3"/>
      <c r="B298" s="3"/>
      <c r="C298" s="3"/>
      <c r="D298" s="3"/>
      <c r="E298" s="3"/>
      <c r="F298" s="3"/>
      <c r="G298" s="4"/>
      <c r="H298" s="3"/>
      <c r="I298" s="3"/>
      <c r="P298" s="3"/>
      <c r="Q298" s="3"/>
      <c r="R298" s="3"/>
      <c r="S298" s="3"/>
      <c r="T298" s="3"/>
      <c r="U298" s="3"/>
      <c r="AB298" s="3"/>
      <c r="AC298" s="3"/>
      <c r="AD298" s="3"/>
    </row>
    <row r="299" spans="1:30" s="2" customFormat="1">
      <c r="A299" s="3"/>
      <c r="B299" s="3"/>
      <c r="C299" s="3"/>
      <c r="D299" s="3"/>
      <c r="E299" s="3"/>
      <c r="F299" s="3"/>
      <c r="G299" s="4"/>
      <c r="H299" s="3"/>
      <c r="I299" s="3"/>
      <c r="P299" s="3"/>
      <c r="Q299" s="3"/>
      <c r="R299" s="3"/>
      <c r="S299" s="3"/>
      <c r="T299" s="3"/>
      <c r="U299" s="3"/>
      <c r="AB299" s="3"/>
      <c r="AC299" s="3"/>
      <c r="AD299" s="3"/>
    </row>
    <row r="300" spans="1:30" s="2" customFormat="1">
      <c r="A300" s="3"/>
      <c r="B300" s="3"/>
      <c r="C300" s="3"/>
      <c r="D300" s="3"/>
      <c r="E300" s="3"/>
      <c r="F300" s="3"/>
      <c r="G300" s="4"/>
      <c r="H300" s="3"/>
      <c r="I300" s="3"/>
      <c r="P300" s="3"/>
      <c r="Q300" s="3"/>
      <c r="R300" s="3"/>
      <c r="S300" s="3"/>
      <c r="T300" s="3"/>
      <c r="U300" s="3"/>
      <c r="AB300" s="3"/>
      <c r="AC300" s="3"/>
      <c r="AD300" s="3"/>
    </row>
    <row r="301" spans="1:30" s="2" customFormat="1">
      <c r="A301" s="3"/>
      <c r="B301" s="3"/>
      <c r="C301" s="3"/>
      <c r="D301" s="3"/>
      <c r="E301" s="3"/>
      <c r="F301" s="3"/>
      <c r="G301" s="4"/>
      <c r="H301" s="3"/>
      <c r="I301" s="3"/>
      <c r="P301" s="3"/>
      <c r="Q301" s="3"/>
      <c r="R301" s="3"/>
      <c r="S301" s="3"/>
      <c r="T301" s="3"/>
      <c r="U301" s="3"/>
      <c r="AB301" s="3"/>
      <c r="AC301" s="3"/>
      <c r="AD301" s="3"/>
    </row>
    <row r="302" spans="1:30" s="2" customFormat="1">
      <c r="A302" s="3"/>
      <c r="B302" s="3"/>
      <c r="C302" s="3"/>
      <c r="D302" s="3"/>
      <c r="E302" s="3"/>
      <c r="F302" s="3"/>
      <c r="G302" s="4"/>
      <c r="H302" s="3"/>
      <c r="I302" s="3"/>
      <c r="P302" s="3"/>
      <c r="Q302" s="3"/>
      <c r="R302" s="3"/>
      <c r="S302" s="3"/>
      <c r="T302" s="3"/>
      <c r="U302" s="3"/>
      <c r="AB302" s="3"/>
      <c r="AC302" s="3"/>
      <c r="AD302" s="3"/>
    </row>
    <row r="303" spans="1:30" s="2" customFormat="1">
      <c r="A303" s="3"/>
      <c r="B303" s="3"/>
      <c r="C303" s="3"/>
      <c r="D303" s="3"/>
      <c r="E303" s="3"/>
      <c r="F303" s="3"/>
      <c r="G303" s="4"/>
      <c r="H303" s="3"/>
      <c r="I303" s="3"/>
      <c r="P303" s="3"/>
      <c r="Q303" s="3"/>
      <c r="R303" s="3"/>
      <c r="S303" s="3"/>
      <c r="T303" s="3"/>
      <c r="U303" s="3"/>
      <c r="AB303" s="3"/>
      <c r="AC303" s="3"/>
      <c r="AD303" s="3"/>
    </row>
    <row r="304" spans="1:30" s="2" customFormat="1">
      <c r="A304" s="3"/>
      <c r="B304" s="3"/>
      <c r="C304" s="3"/>
      <c r="D304" s="3"/>
      <c r="E304" s="3"/>
      <c r="F304" s="3"/>
      <c r="G304" s="4"/>
      <c r="H304" s="3"/>
      <c r="I304" s="3"/>
      <c r="P304" s="3"/>
      <c r="Q304" s="3"/>
      <c r="R304" s="3"/>
      <c r="S304" s="3"/>
      <c r="T304" s="3"/>
      <c r="U304" s="3"/>
      <c r="AB304" s="3"/>
      <c r="AC304" s="3"/>
      <c r="AD304" s="3"/>
    </row>
    <row r="305" spans="1:30" s="2" customFormat="1">
      <c r="A305" s="3"/>
      <c r="B305" s="3"/>
      <c r="C305" s="3"/>
      <c r="D305" s="3"/>
      <c r="E305" s="3"/>
      <c r="F305" s="3"/>
      <c r="G305" s="4"/>
      <c r="H305" s="3"/>
      <c r="I305" s="3"/>
      <c r="P305" s="3"/>
      <c r="Q305" s="3"/>
      <c r="R305" s="3"/>
      <c r="S305" s="3"/>
      <c r="T305" s="3"/>
      <c r="U305" s="3"/>
      <c r="AB305" s="3"/>
      <c r="AC305" s="3"/>
      <c r="AD305" s="3"/>
    </row>
    <row r="306" spans="1:30" s="2" customFormat="1">
      <c r="A306" s="3"/>
      <c r="B306" s="3"/>
      <c r="C306" s="3"/>
      <c r="D306" s="3"/>
      <c r="E306" s="3"/>
      <c r="F306" s="3"/>
      <c r="G306" s="4"/>
      <c r="H306" s="3"/>
      <c r="I306" s="3"/>
      <c r="P306" s="3"/>
      <c r="Q306" s="3"/>
      <c r="R306" s="3"/>
      <c r="S306" s="3"/>
      <c r="T306" s="3"/>
      <c r="U306" s="3"/>
      <c r="AB306" s="3"/>
      <c r="AC306" s="3"/>
      <c r="AD306" s="3"/>
    </row>
    <row r="307" spans="1:30" s="2" customFormat="1">
      <c r="A307" s="3"/>
      <c r="B307" s="3"/>
      <c r="C307" s="3"/>
      <c r="D307" s="3"/>
      <c r="E307" s="3"/>
      <c r="F307" s="3"/>
      <c r="G307" s="4"/>
      <c r="H307" s="3"/>
      <c r="I307" s="3"/>
      <c r="P307" s="3"/>
      <c r="Q307" s="3"/>
      <c r="R307" s="3"/>
      <c r="S307" s="3"/>
      <c r="T307" s="3"/>
      <c r="U307" s="3"/>
      <c r="AB307" s="3"/>
      <c r="AC307" s="3"/>
      <c r="AD307" s="3"/>
    </row>
    <row r="308" spans="1:30" s="2" customFormat="1">
      <c r="A308" s="3"/>
      <c r="B308" s="3"/>
      <c r="C308" s="3"/>
      <c r="D308" s="3"/>
      <c r="E308" s="3"/>
      <c r="F308" s="3"/>
      <c r="G308" s="4"/>
      <c r="H308" s="3"/>
      <c r="I308" s="3"/>
      <c r="P308" s="3"/>
      <c r="Q308" s="3"/>
      <c r="R308" s="3"/>
      <c r="S308" s="3"/>
      <c r="T308" s="3"/>
      <c r="U308" s="3"/>
      <c r="AB308" s="3"/>
      <c r="AC308" s="3"/>
      <c r="AD308" s="3"/>
    </row>
    <row r="309" spans="1:30" s="2" customFormat="1">
      <c r="A309" s="3"/>
      <c r="B309" s="3"/>
      <c r="C309" s="3"/>
      <c r="D309" s="3"/>
      <c r="E309" s="3"/>
      <c r="F309" s="3"/>
      <c r="G309" s="4"/>
      <c r="H309" s="3"/>
      <c r="I309" s="3"/>
      <c r="P309" s="3"/>
      <c r="Q309" s="3"/>
      <c r="R309" s="3"/>
      <c r="S309" s="3"/>
      <c r="T309" s="3"/>
      <c r="U309" s="3"/>
      <c r="AB309" s="3"/>
      <c r="AC309" s="3"/>
      <c r="AD309" s="3"/>
    </row>
    <row r="310" spans="1:30" s="2" customFormat="1">
      <c r="A310" s="3"/>
      <c r="B310" s="3"/>
      <c r="C310" s="3"/>
      <c r="D310" s="3"/>
      <c r="E310" s="3"/>
      <c r="F310" s="3"/>
      <c r="G310" s="4"/>
      <c r="H310" s="3"/>
      <c r="I310" s="3"/>
      <c r="P310" s="3"/>
      <c r="Q310" s="3"/>
      <c r="R310" s="3"/>
      <c r="S310" s="3"/>
      <c r="T310" s="3"/>
      <c r="U310" s="3"/>
      <c r="AB310" s="3"/>
      <c r="AC310" s="3"/>
      <c r="AD310" s="3"/>
    </row>
    <row r="311" spans="1:30" s="2" customFormat="1">
      <c r="A311" s="3"/>
      <c r="B311" s="3"/>
      <c r="C311" s="3"/>
      <c r="D311" s="3"/>
      <c r="E311" s="3"/>
      <c r="F311" s="3"/>
      <c r="G311" s="4"/>
      <c r="H311" s="3"/>
      <c r="I311" s="3"/>
      <c r="P311" s="3"/>
      <c r="Q311" s="3"/>
      <c r="R311" s="3"/>
      <c r="S311" s="3"/>
      <c r="T311" s="3"/>
      <c r="U311" s="3"/>
      <c r="AB311" s="3"/>
      <c r="AC311" s="3"/>
      <c r="AD311" s="3"/>
    </row>
    <row r="312" spans="1:30" s="2" customFormat="1">
      <c r="A312" s="3"/>
      <c r="B312" s="3"/>
      <c r="C312" s="3"/>
      <c r="D312" s="3"/>
      <c r="E312" s="3"/>
      <c r="F312" s="3"/>
      <c r="G312" s="4"/>
      <c r="H312" s="3"/>
      <c r="I312" s="3"/>
      <c r="P312" s="3"/>
      <c r="Q312" s="3"/>
      <c r="R312" s="3"/>
      <c r="S312" s="3"/>
      <c r="T312" s="3"/>
      <c r="U312" s="3"/>
      <c r="AB312" s="3"/>
      <c r="AC312" s="3"/>
      <c r="AD312" s="3"/>
    </row>
    <row r="313" spans="1:30" s="2" customFormat="1">
      <c r="A313" s="3"/>
      <c r="B313" s="3"/>
      <c r="C313" s="3"/>
      <c r="D313" s="3"/>
      <c r="E313" s="3"/>
      <c r="F313" s="3"/>
      <c r="G313" s="4"/>
      <c r="H313" s="3"/>
      <c r="I313" s="3"/>
      <c r="P313" s="3"/>
      <c r="Q313" s="3"/>
      <c r="R313" s="3"/>
      <c r="S313" s="3"/>
      <c r="T313" s="3"/>
      <c r="U313" s="3"/>
      <c r="AB313" s="3"/>
      <c r="AC313" s="3"/>
      <c r="AD313" s="3"/>
    </row>
    <row r="314" spans="1:30" s="2" customFormat="1">
      <c r="A314" s="3"/>
      <c r="B314" s="3"/>
      <c r="C314" s="3"/>
      <c r="D314" s="3"/>
      <c r="E314" s="3"/>
      <c r="F314" s="3"/>
      <c r="G314" s="4"/>
      <c r="H314" s="3"/>
      <c r="I314" s="3"/>
      <c r="P314" s="3"/>
      <c r="Q314" s="3"/>
      <c r="R314" s="3"/>
      <c r="S314" s="3"/>
      <c r="T314" s="3"/>
      <c r="U314" s="3"/>
      <c r="AB314" s="3"/>
      <c r="AC314" s="3"/>
      <c r="AD314" s="3"/>
    </row>
    <row r="315" spans="1:30" s="2" customFormat="1">
      <c r="A315" s="3"/>
      <c r="B315" s="3"/>
      <c r="C315" s="3"/>
      <c r="D315" s="3"/>
      <c r="E315" s="3"/>
      <c r="F315" s="3"/>
      <c r="G315" s="4"/>
      <c r="H315" s="3"/>
      <c r="I315" s="3"/>
      <c r="P315" s="3"/>
      <c r="Q315" s="3"/>
      <c r="R315" s="3"/>
      <c r="S315" s="3"/>
      <c r="T315" s="3"/>
      <c r="U315" s="3"/>
      <c r="AB315" s="3"/>
      <c r="AC315" s="3"/>
      <c r="AD315" s="3"/>
    </row>
    <row r="316" spans="1:30" s="2" customFormat="1">
      <c r="A316" s="3"/>
      <c r="B316" s="3"/>
      <c r="C316" s="3"/>
      <c r="D316" s="3"/>
      <c r="E316" s="3"/>
      <c r="F316" s="3"/>
      <c r="G316" s="4"/>
      <c r="H316" s="3"/>
      <c r="I316" s="3"/>
      <c r="P316" s="3"/>
      <c r="Q316" s="3"/>
      <c r="R316" s="3"/>
      <c r="S316" s="3"/>
      <c r="T316" s="3"/>
      <c r="U316" s="3"/>
      <c r="AB316" s="3"/>
      <c r="AC316" s="3"/>
      <c r="AD316" s="3"/>
    </row>
    <row r="317" spans="1:30" s="2" customFormat="1">
      <c r="A317" s="3"/>
      <c r="B317" s="3"/>
      <c r="C317" s="3"/>
      <c r="D317" s="3"/>
      <c r="E317" s="3"/>
      <c r="F317" s="3"/>
      <c r="G317" s="4"/>
      <c r="H317" s="3"/>
      <c r="I317" s="3"/>
      <c r="P317" s="3"/>
      <c r="Q317" s="3"/>
      <c r="R317" s="3"/>
      <c r="S317" s="3"/>
      <c r="T317" s="3"/>
      <c r="U317" s="3"/>
      <c r="AB317" s="3"/>
      <c r="AC317" s="3"/>
      <c r="AD317" s="3"/>
    </row>
    <row r="318" spans="1:30" s="2" customFormat="1">
      <c r="A318" s="3"/>
      <c r="B318" s="3"/>
      <c r="C318" s="3"/>
      <c r="D318" s="3"/>
      <c r="E318" s="3"/>
      <c r="F318" s="3"/>
      <c r="G318" s="4"/>
      <c r="H318" s="3"/>
      <c r="I318" s="3"/>
      <c r="P318" s="3"/>
      <c r="Q318" s="3"/>
      <c r="R318" s="3"/>
      <c r="S318" s="3"/>
      <c r="T318" s="3"/>
      <c r="U318" s="3"/>
      <c r="AB318" s="3"/>
      <c r="AC318" s="3"/>
      <c r="AD318" s="3"/>
    </row>
    <row r="319" spans="1:30" s="2" customFormat="1">
      <c r="A319" s="3"/>
      <c r="B319" s="3"/>
      <c r="C319" s="3"/>
      <c r="D319" s="3"/>
      <c r="E319" s="3"/>
      <c r="F319" s="3"/>
      <c r="G319" s="4"/>
      <c r="H319" s="3"/>
      <c r="I319" s="3"/>
      <c r="P319" s="3"/>
      <c r="Q319" s="3"/>
      <c r="R319" s="3"/>
      <c r="S319" s="3"/>
      <c r="T319" s="3"/>
      <c r="U319" s="3"/>
      <c r="AB319" s="3"/>
      <c r="AC319" s="3"/>
      <c r="AD319" s="3"/>
    </row>
    <row r="320" spans="1:30" s="2" customFormat="1">
      <c r="A320" s="3"/>
      <c r="B320" s="3"/>
      <c r="C320" s="3"/>
      <c r="D320" s="3"/>
      <c r="E320" s="3"/>
      <c r="F320" s="3"/>
      <c r="G320" s="4"/>
      <c r="H320" s="3"/>
      <c r="I320" s="3"/>
      <c r="P320" s="3"/>
      <c r="Q320" s="3"/>
      <c r="R320" s="3"/>
      <c r="S320" s="3"/>
      <c r="T320" s="3"/>
      <c r="U320" s="3"/>
      <c r="AB320" s="3"/>
      <c r="AC320" s="3"/>
      <c r="AD320" s="3"/>
    </row>
    <row r="321" spans="1:30" s="2" customFormat="1">
      <c r="A321" s="3"/>
      <c r="B321" s="3"/>
      <c r="C321" s="3"/>
      <c r="D321" s="3"/>
      <c r="E321" s="3"/>
      <c r="F321" s="3"/>
      <c r="G321" s="4"/>
      <c r="H321" s="3"/>
      <c r="I321" s="3"/>
      <c r="P321" s="3"/>
      <c r="Q321" s="3"/>
      <c r="R321" s="3"/>
      <c r="S321" s="3"/>
      <c r="T321" s="3"/>
      <c r="U321" s="3"/>
      <c r="AB321" s="3"/>
      <c r="AC321" s="3"/>
      <c r="AD321" s="3"/>
    </row>
    <row r="322" spans="1:30" s="2" customFormat="1">
      <c r="A322" s="3"/>
      <c r="B322" s="3"/>
      <c r="C322" s="3"/>
      <c r="D322" s="3"/>
      <c r="E322" s="3"/>
      <c r="F322" s="3"/>
      <c r="G322" s="4"/>
      <c r="H322" s="3"/>
      <c r="I322" s="3"/>
      <c r="P322" s="3"/>
      <c r="Q322" s="3"/>
      <c r="R322" s="3"/>
      <c r="S322" s="3"/>
      <c r="T322" s="3"/>
      <c r="U322" s="3"/>
      <c r="AB322" s="3"/>
      <c r="AC322" s="3"/>
      <c r="AD322" s="3"/>
    </row>
    <row r="323" spans="1:30" s="2" customFormat="1">
      <c r="A323" s="3"/>
      <c r="B323" s="3"/>
      <c r="C323" s="3"/>
      <c r="D323" s="3"/>
      <c r="E323" s="3"/>
      <c r="F323" s="3"/>
      <c r="G323" s="4"/>
      <c r="H323" s="3"/>
      <c r="I323" s="3"/>
      <c r="P323" s="3"/>
      <c r="Q323" s="3"/>
      <c r="R323" s="3"/>
      <c r="S323" s="3"/>
      <c r="T323" s="3"/>
      <c r="U323" s="3"/>
      <c r="AB323" s="3"/>
      <c r="AC323" s="3"/>
      <c r="AD323" s="3"/>
    </row>
    <row r="324" spans="1:30" s="2" customFormat="1">
      <c r="A324" s="3"/>
      <c r="B324" s="3"/>
      <c r="C324" s="3"/>
      <c r="D324" s="3"/>
      <c r="E324" s="3"/>
      <c r="F324" s="3"/>
      <c r="G324" s="4"/>
      <c r="H324" s="3"/>
      <c r="I324" s="3"/>
      <c r="P324" s="3"/>
      <c r="Q324" s="3"/>
      <c r="R324" s="3"/>
      <c r="S324" s="3"/>
      <c r="T324" s="3"/>
      <c r="U324" s="3"/>
      <c r="AB324" s="3"/>
      <c r="AC324" s="3"/>
      <c r="AD324" s="3"/>
    </row>
    <row r="325" spans="1:30" s="2" customFormat="1">
      <c r="A325" s="3"/>
      <c r="B325" s="3"/>
      <c r="C325" s="3"/>
      <c r="D325" s="3"/>
      <c r="E325" s="3"/>
      <c r="F325" s="3"/>
      <c r="G325" s="4"/>
      <c r="H325" s="3"/>
      <c r="I325" s="3"/>
      <c r="P325" s="3"/>
      <c r="Q325" s="3"/>
      <c r="R325" s="3"/>
      <c r="S325" s="3"/>
      <c r="T325" s="3"/>
      <c r="U325" s="3"/>
      <c r="AB325" s="3"/>
      <c r="AC325" s="3"/>
      <c r="AD325" s="3"/>
    </row>
    <row r="326" spans="1:30" s="2" customFormat="1">
      <c r="A326" s="3"/>
      <c r="B326" s="3"/>
      <c r="C326" s="3"/>
      <c r="D326" s="3"/>
      <c r="E326" s="3"/>
      <c r="F326" s="3"/>
      <c r="G326" s="4"/>
      <c r="H326" s="3"/>
      <c r="I326" s="3"/>
      <c r="P326" s="3"/>
      <c r="Q326" s="3"/>
      <c r="R326" s="3"/>
      <c r="S326" s="3"/>
      <c r="T326" s="3"/>
      <c r="U326" s="3"/>
      <c r="AB326" s="3"/>
      <c r="AC326" s="3"/>
      <c r="AD326" s="3"/>
    </row>
    <row r="327" spans="1:30" s="2" customFormat="1">
      <c r="A327" s="3"/>
      <c r="B327" s="3"/>
      <c r="C327" s="3"/>
      <c r="D327" s="3"/>
      <c r="E327" s="3"/>
      <c r="F327" s="3"/>
      <c r="G327" s="4"/>
      <c r="H327" s="3"/>
      <c r="I327" s="3"/>
      <c r="P327" s="3"/>
      <c r="Q327" s="3"/>
      <c r="R327" s="3"/>
      <c r="S327" s="3"/>
      <c r="T327" s="3"/>
      <c r="U327" s="3"/>
      <c r="AB327" s="3"/>
      <c r="AC327" s="3"/>
      <c r="AD327" s="3"/>
    </row>
    <row r="328" spans="1:30" s="2" customFormat="1">
      <c r="A328" s="3"/>
      <c r="B328" s="3"/>
      <c r="C328" s="3"/>
      <c r="D328" s="3"/>
      <c r="E328" s="3"/>
      <c r="F328" s="3"/>
      <c r="G328" s="4"/>
      <c r="H328" s="3"/>
      <c r="I328" s="3"/>
      <c r="P328" s="3"/>
      <c r="Q328" s="3"/>
      <c r="R328" s="3"/>
      <c r="S328" s="3"/>
      <c r="T328" s="3"/>
      <c r="U328" s="3"/>
      <c r="AB328" s="3"/>
      <c r="AC328" s="3"/>
      <c r="AD328" s="3"/>
    </row>
    <row r="329" spans="1:30" s="2" customFormat="1">
      <c r="A329" s="3"/>
      <c r="B329" s="3"/>
      <c r="C329" s="3"/>
      <c r="D329" s="3"/>
      <c r="E329" s="3"/>
      <c r="F329" s="3"/>
      <c r="G329" s="4"/>
      <c r="H329" s="3"/>
      <c r="I329" s="3"/>
      <c r="P329" s="3"/>
      <c r="Q329" s="3"/>
      <c r="R329" s="3"/>
      <c r="S329" s="3"/>
      <c r="T329" s="3"/>
      <c r="U329" s="3"/>
      <c r="AB329" s="3"/>
      <c r="AC329" s="3"/>
      <c r="AD329" s="3"/>
    </row>
    <row r="330" spans="1:30" s="2" customFormat="1">
      <c r="A330" s="3"/>
      <c r="B330" s="3"/>
      <c r="C330" s="3"/>
      <c r="D330" s="3"/>
      <c r="E330" s="3"/>
      <c r="F330" s="3"/>
      <c r="G330" s="4"/>
      <c r="H330" s="3"/>
      <c r="I330" s="3"/>
      <c r="P330" s="3"/>
      <c r="Q330" s="3"/>
      <c r="R330" s="3"/>
      <c r="S330" s="3"/>
      <c r="T330" s="3"/>
      <c r="U330" s="3"/>
      <c r="AB330" s="3"/>
      <c r="AC330" s="3"/>
      <c r="AD330" s="3"/>
    </row>
    <row r="331" spans="1:30" s="2" customFormat="1">
      <c r="A331" s="3"/>
      <c r="B331" s="3"/>
      <c r="C331" s="3"/>
      <c r="D331" s="3"/>
      <c r="E331" s="3"/>
      <c r="F331" s="3"/>
      <c r="G331" s="4"/>
      <c r="H331" s="3"/>
      <c r="I331" s="3"/>
      <c r="P331" s="3"/>
      <c r="Q331" s="3"/>
      <c r="R331" s="3"/>
      <c r="S331" s="3"/>
      <c r="T331" s="3"/>
      <c r="U331" s="3"/>
      <c r="AB331" s="3"/>
      <c r="AC331" s="3"/>
      <c r="AD331" s="3"/>
    </row>
    <row r="332" spans="1:30" s="2" customFormat="1">
      <c r="A332" s="3"/>
      <c r="B332" s="3"/>
      <c r="C332" s="3"/>
      <c r="D332" s="3"/>
      <c r="E332" s="3"/>
      <c r="F332" s="3"/>
      <c r="G332" s="4"/>
      <c r="H332" s="3"/>
      <c r="I332" s="3"/>
      <c r="P332" s="3"/>
      <c r="Q332" s="3"/>
      <c r="R332" s="3"/>
      <c r="S332" s="3"/>
      <c r="T332" s="3"/>
      <c r="U332" s="3"/>
      <c r="AB332" s="3"/>
      <c r="AC332" s="3"/>
      <c r="AD332" s="3"/>
    </row>
    <row r="333" spans="1:30" s="2" customFormat="1">
      <c r="A333" s="3"/>
      <c r="B333" s="3"/>
      <c r="C333" s="3"/>
      <c r="D333" s="3"/>
      <c r="E333" s="3"/>
      <c r="F333" s="3"/>
      <c r="G333" s="4"/>
      <c r="H333" s="3"/>
      <c r="I333" s="3"/>
      <c r="P333" s="3"/>
      <c r="Q333" s="3"/>
      <c r="R333" s="3"/>
      <c r="S333" s="3"/>
      <c r="T333" s="3"/>
      <c r="U333" s="3"/>
      <c r="AB333" s="3"/>
      <c r="AC333" s="3"/>
      <c r="AD333" s="3"/>
    </row>
    <row r="334" spans="1:30" s="2" customFormat="1">
      <c r="A334" s="3"/>
      <c r="B334" s="3"/>
      <c r="C334" s="3"/>
      <c r="D334" s="3"/>
      <c r="E334" s="3"/>
      <c r="F334" s="3"/>
      <c r="G334" s="4"/>
      <c r="H334" s="3"/>
      <c r="I334" s="3"/>
      <c r="P334" s="3"/>
      <c r="Q334" s="3"/>
      <c r="R334" s="3"/>
      <c r="S334" s="3"/>
      <c r="T334" s="3"/>
      <c r="U334" s="3"/>
      <c r="AB334" s="3"/>
      <c r="AC334" s="3"/>
      <c r="AD334" s="3"/>
    </row>
    <row r="335" spans="1:30" s="2" customFormat="1">
      <c r="A335" s="3"/>
      <c r="B335" s="3"/>
      <c r="C335" s="3"/>
      <c r="D335" s="3"/>
      <c r="E335" s="3"/>
      <c r="F335" s="3"/>
      <c r="G335" s="4"/>
      <c r="H335" s="3"/>
      <c r="I335" s="3"/>
      <c r="P335" s="3"/>
      <c r="Q335" s="3"/>
      <c r="R335" s="3"/>
      <c r="S335" s="3"/>
      <c r="T335" s="3"/>
      <c r="U335" s="3"/>
      <c r="AB335" s="3"/>
      <c r="AC335" s="3"/>
      <c r="AD335" s="3"/>
    </row>
    <row r="336" spans="1:30" s="2" customFormat="1">
      <c r="A336" s="3"/>
      <c r="B336" s="3"/>
      <c r="C336" s="3"/>
      <c r="D336" s="3"/>
      <c r="E336" s="3"/>
      <c r="F336" s="3"/>
      <c r="G336" s="4"/>
      <c r="H336" s="3"/>
      <c r="I336" s="3"/>
      <c r="P336" s="3"/>
      <c r="Q336" s="3"/>
      <c r="R336" s="3"/>
      <c r="S336" s="3"/>
      <c r="T336" s="3"/>
      <c r="U336" s="3"/>
      <c r="AB336" s="3"/>
      <c r="AC336" s="3"/>
      <c r="AD336" s="3"/>
    </row>
    <row r="337" spans="1:30" s="2" customFormat="1">
      <c r="A337" s="3"/>
      <c r="B337" s="3"/>
      <c r="C337" s="3"/>
      <c r="D337" s="3"/>
      <c r="E337" s="3"/>
      <c r="F337" s="3"/>
      <c r="G337" s="4"/>
      <c r="H337" s="3"/>
      <c r="I337" s="3"/>
      <c r="P337" s="3"/>
      <c r="Q337" s="3"/>
      <c r="R337" s="3"/>
      <c r="S337" s="3"/>
      <c r="T337" s="3"/>
      <c r="U337" s="3"/>
      <c r="AB337" s="3"/>
      <c r="AC337" s="3"/>
      <c r="AD337" s="3"/>
    </row>
    <row r="338" spans="1:30" s="2" customFormat="1">
      <c r="A338" s="3"/>
      <c r="B338" s="3"/>
      <c r="C338" s="3"/>
      <c r="D338" s="3"/>
      <c r="E338" s="3"/>
      <c r="F338" s="3"/>
      <c r="G338" s="4"/>
      <c r="H338" s="3"/>
      <c r="I338" s="3"/>
      <c r="P338" s="3"/>
      <c r="Q338" s="3"/>
      <c r="R338" s="3"/>
      <c r="S338" s="3"/>
      <c r="T338" s="3"/>
      <c r="U338" s="3"/>
      <c r="AB338" s="3"/>
      <c r="AC338" s="3"/>
      <c r="AD338" s="3"/>
    </row>
    <row r="339" spans="1:30" s="2" customFormat="1">
      <c r="A339" s="3"/>
      <c r="B339" s="3"/>
      <c r="C339" s="3"/>
      <c r="D339" s="3"/>
      <c r="E339" s="3"/>
      <c r="F339" s="3"/>
      <c r="G339" s="4"/>
      <c r="H339" s="3"/>
      <c r="I339" s="3"/>
      <c r="P339" s="3"/>
      <c r="Q339" s="3"/>
      <c r="R339" s="3"/>
      <c r="S339" s="3"/>
      <c r="T339" s="3"/>
      <c r="U339" s="3"/>
      <c r="AB339" s="3"/>
      <c r="AC339" s="3"/>
      <c r="AD339" s="3"/>
    </row>
  </sheetData>
  <mergeCells count="7">
    <mergeCell ref="U165:U173"/>
    <mergeCell ref="H1:I1"/>
    <mergeCell ref="A2:A58"/>
    <mergeCell ref="A130:A148"/>
    <mergeCell ref="U2:U58"/>
    <mergeCell ref="U112:U123"/>
    <mergeCell ref="U130:U148"/>
  </mergeCells>
  <phoneticPr fontId="11" type="noConversion"/>
  <pageMargins left="0.69930555555555596" right="0.69930555555555596"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0"/>
  <sheetViews>
    <sheetView zoomScaleNormal="100" workbookViewId="0">
      <pane xSplit="9" ySplit="2" topLeftCell="P3" activePane="bottomRight" state="frozen"/>
      <selection pane="topRight"/>
      <selection pane="bottomLeft"/>
      <selection pane="bottomRight" activeCell="Q10" sqref="Q10"/>
    </sheetView>
  </sheetViews>
  <sheetFormatPr defaultColWidth="9.28515625" defaultRowHeight="12.75"/>
  <cols>
    <col min="1" max="1" width="9.28515625" style="3"/>
    <col min="2" max="2" width="4.42578125" style="3" customWidth="1"/>
    <col min="3" max="3" width="23.85546875" style="3" customWidth="1"/>
    <col min="4" max="4" width="16" style="3" customWidth="1"/>
    <col min="5" max="5" width="11.28515625" style="3" customWidth="1"/>
    <col min="6" max="6" width="9.28515625" style="3" customWidth="1"/>
    <col min="7" max="7" width="10.85546875" style="4" customWidth="1"/>
    <col min="8" max="8" width="16.42578125" style="3" customWidth="1"/>
    <col min="9" max="9" width="6.42578125" style="3" customWidth="1"/>
    <col min="10" max="13" width="9.28515625" style="2" customWidth="1"/>
    <col min="14" max="14" width="9.28515625" style="3" customWidth="1"/>
    <col min="15" max="15" width="9.28515625" style="5" customWidth="1"/>
    <col min="16" max="19" width="9.28515625" style="3"/>
    <col min="20" max="24" width="9.28515625" style="2" customWidth="1"/>
    <col min="25" max="26" width="9.28515625" style="3" customWidth="1"/>
    <col min="27" max="16384" width="9.28515625" style="3"/>
  </cols>
  <sheetData>
    <row r="1" spans="1:27" s="1" customFormat="1" ht="40.9" customHeight="1">
      <c r="A1" s="6" t="s">
        <v>403</v>
      </c>
      <c r="B1" s="1" t="s">
        <v>404</v>
      </c>
      <c r="C1" s="1" t="s">
        <v>405</v>
      </c>
      <c r="D1" s="1" t="s">
        <v>406</v>
      </c>
      <c r="E1" s="1" t="s">
        <v>57</v>
      </c>
      <c r="F1" s="1" t="s">
        <v>67</v>
      </c>
      <c r="G1" s="7" t="s">
        <v>491</v>
      </c>
      <c r="H1" s="245" t="s">
        <v>407</v>
      </c>
      <c r="I1" s="245"/>
      <c r="J1" s="14" t="s">
        <v>5</v>
      </c>
      <c r="K1" s="15" t="s">
        <v>14</v>
      </c>
      <c r="L1" s="23" t="s">
        <v>16</v>
      </c>
      <c r="M1" s="24" t="s">
        <v>20</v>
      </c>
      <c r="N1" s="1" t="s">
        <v>408</v>
      </c>
      <c r="O1" s="25" t="s">
        <v>409</v>
      </c>
      <c r="P1" s="1" t="s">
        <v>410</v>
      </c>
      <c r="S1" s="6" t="s">
        <v>411</v>
      </c>
      <c r="T1" s="14" t="str">
        <f>J1</f>
        <v>Huawei</v>
      </c>
      <c r="U1" s="14" t="str">
        <f>K1</f>
        <v>CAICT</v>
      </c>
      <c r="V1" s="14" t="str">
        <f>L1</f>
        <v>OPPO</v>
      </c>
      <c r="W1" s="28" t="s">
        <v>20</v>
      </c>
      <c r="X1" s="14" t="s">
        <v>23</v>
      </c>
      <c r="Y1" s="1" t="s">
        <v>408</v>
      </c>
      <c r="Z1" s="1" t="s">
        <v>409</v>
      </c>
      <c r="AA1" s="1" t="s">
        <v>410</v>
      </c>
    </row>
    <row r="2" spans="1:27" ht="12.75" customHeight="1">
      <c r="A2" s="8" t="s">
        <v>412</v>
      </c>
      <c r="B2" s="9" t="s">
        <v>49</v>
      </c>
      <c r="C2" s="9"/>
      <c r="D2" s="9" t="s">
        <v>49</v>
      </c>
      <c r="E2" s="9"/>
      <c r="F2" s="9"/>
      <c r="G2" s="10"/>
      <c r="H2" s="9"/>
      <c r="I2" s="9"/>
      <c r="J2" s="16"/>
      <c r="K2" s="16"/>
      <c r="L2" s="16"/>
      <c r="M2" s="16"/>
      <c r="N2" s="26"/>
      <c r="O2" s="26"/>
      <c r="P2" s="13"/>
      <c r="S2" s="8" t="s">
        <v>412</v>
      </c>
      <c r="T2" s="16"/>
      <c r="U2" s="16"/>
      <c r="V2" s="16"/>
      <c r="W2" s="16"/>
      <c r="X2" s="16"/>
      <c r="Y2" s="26"/>
      <c r="Z2" s="13"/>
      <c r="AA2" s="13"/>
    </row>
    <row r="3" spans="1:27" ht="25.5">
      <c r="A3" s="8"/>
      <c r="B3" s="3" t="s">
        <v>413</v>
      </c>
      <c r="C3" s="3" t="s">
        <v>476</v>
      </c>
      <c r="D3" s="3" t="s">
        <v>422</v>
      </c>
      <c r="E3" s="3" t="s">
        <v>416</v>
      </c>
      <c r="G3" s="4">
        <v>10</v>
      </c>
      <c r="H3" s="3" t="s">
        <v>417</v>
      </c>
      <c r="I3" s="17">
        <v>3.3</v>
      </c>
      <c r="J3" s="2">
        <v>7.5970000000000004</v>
      </c>
      <c r="K3" s="2">
        <v>7.4595000000000002</v>
      </c>
      <c r="L3" s="2">
        <v>9.6199999999999992</v>
      </c>
      <c r="M3" s="2">
        <v>6.22</v>
      </c>
      <c r="N3" s="5">
        <f t="shared" ref="N3:N8" si="0">AVERAGE(J3:M3)</f>
        <v>7.724124999999999</v>
      </c>
      <c r="O3" s="5">
        <f t="shared" ref="O3:O8" si="1">SQRT(VAR(J3:M3))</f>
        <v>1.4074706850114826</v>
      </c>
      <c r="P3" s="3">
        <f t="shared" ref="P3:P8" si="2">COUNT(J3:M3)</f>
        <v>4</v>
      </c>
      <c r="S3" s="8"/>
      <c r="T3" s="2">
        <v>7.6070000000000002</v>
      </c>
      <c r="V3" s="2">
        <v>9.24</v>
      </c>
      <c r="W3" s="2">
        <v>6.29</v>
      </c>
      <c r="Y3" s="5">
        <f t="shared" ref="Y3:Y8" si="3">AVERAGE(T3:X3)</f>
        <v>7.7123333333333335</v>
      </c>
      <c r="Z3" s="3">
        <f t="shared" ref="Z3:Z8" si="4">SQRT(VAR(T3:X3))</f>
        <v>1.477818098865127</v>
      </c>
      <c r="AA3" s="3">
        <f t="shared" ref="AA3:AA8" si="5">COUNT(T3:X3)</f>
        <v>3</v>
      </c>
    </row>
    <row r="4" spans="1:27" ht="25.5">
      <c r="A4" s="8"/>
      <c r="G4" s="4">
        <v>20</v>
      </c>
      <c r="H4" s="3" t="s">
        <v>417</v>
      </c>
      <c r="I4" s="17">
        <v>3.3</v>
      </c>
      <c r="J4" s="2">
        <f>J3*DL_OH!$W$13</f>
        <v>8.5105979465449852</v>
      </c>
      <c r="K4" s="2">
        <f>K3*DL_OH!$W$18</f>
        <v>8.3383915841584173</v>
      </c>
      <c r="L4" s="2">
        <f>L3*DL_OH!$W$21</f>
        <v>10.753445544554456</v>
      </c>
      <c r="M4" s="2">
        <f>M3*DL_OH!$W$8</f>
        <v>7.0209447392260875</v>
      </c>
      <c r="N4" s="5">
        <f t="shared" si="0"/>
        <v>8.6558449536209867</v>
      </c>
      <c r="O4" s="5">
        <f t="shared" si="1"/>
        <v>1.5486230749669809</v>
      </c>
      <c r="P4" s="3">
        <f t="shared" si="2"/>
        <v>4</v>
      </c>
      <c r="S4" s="8"/>
      <c r="T4" s="2">
        <f>T3*DL_OH!$W$13</f>
        <v>8.5218005238077801</v>
      </c>
      <c r="V4" s="2">
        <f>V3*DL_OH!$W$21</f>
        <v>10.328673267326733</v>
      </c>
      <c r="W4" s="2">
        <f>W3*DL_OH!$W$8</f>
        <v>7.0999585867736483</v>
      </c>
      <c r="Y4" s="5">
        <f t="shared" si="3"/>
        <v>8.650144125969387</v>
      </c>
      <c r="Z4" s="3">
        <f t="shared" si="4"/>
        <v>1.6181791255193705</v>
      </c>
      <c r="AA4" s="3">
        <f t="shared" si="5"/>
        <v>3</v>
      </c>
    </row>
    <row r="5" spans="1:27" ht="25.5">
      <c r="A5" s="8"/>
      <c r="G5" s="4">
        <v>40</v>
      </c>
      <c r="H5" s="3" t="s">
        <v>417</v>
      </c>
      <c r="I5" s="17">
        <v>3.3</v>
      </c>
      <c r="J5" s="2">
        <f>J3*DL_OH!$AA$13</f>
        <v>9.0617107235984378</v>
      </c>
      <c r="K5" s="2">
        <f>K3*DL_OH!$AA$18</f>
        <v>8.8699406959813647</v>
      </c>
      <c r="L5" s="2">
        <f>L3*DL_OH!$AA$21</f>
        <v>11.438947582993594</v>
      </c>
      <c r="M5" s="2">
        <f>M3*DL_OH!$AA$8</f>
        <v>7.5001028859842069</v>
      </c>
      <c r="N5" s="5">
        <f t="shared" si="0"/>
        <v>9.2176754721393994</v>
      </c>
      <c r="O5" s="5">
        <f t="shared" si="1"/>
        <v>1.6359859266415604</v>
      </c>
      <c r="P5" s="3">
        <f t="shared" si="2"/>
        <v>4</v>
      </c>
      <c r="S5" s="8"/>
      <c r="T5" s="2">
        <f>T3*DL_OH!$AA$13</f>
        <v>9.0736387356079131</v>
      </c>
      <c r="V5" s="2">
        <f>V3*DL_OH!$AA$21</f>
        <v>10.987097262667445</v>
      </c>
      <c r="W5" s="2">
        <f>W3*DL_OH!$AA$8</f>
        <v>7.5845091885595917</v>
      </c>
      <c r="Y5" s="5">
        <f t="shared" si="3"/>
        <v>9.2150817289449822</v>
      </c>
      <c r="Z5" s="3">
        <f t="shared" si="4"/>
        <v>1.7056980948539475</v>
      </c>
      <c r="AA5" s="3">
        <f t="shared" si="5"/>
        <v>3</v>
      </c>
    </row>
    <row r="6" spans="1:27" ht="25.5">
      <c r="A6" s="8"/>
      <c r="G6" s="4">
        <v>10</v>
      </c>
      <c r="H6" s="11" t="s">
        <v>418</v>
      </c>
      <c r="I6" s="11">
        <v>0.12</v>
      </c>
      <c r="J6" s="20">
        <v>0.18</v>
      </c>
      <c r="K6" s="20">
        <v>0.1608</v>
      </c>
      <c r="L6" s="20">
        <v>0.32</v>
      </c>
      <c r="M6" s="20">
        <v>0.21</v>
      </c>
      <c r="N6" s="27">
        <f t="shared" si="0"/>
        <v>0.2177</v>
      </c>
      <c r="O6" s="27">
        <f t="shared" si="1"/>
        <v>7.1141830170441914E-2</v>
      </c>
      <c r="P6" s="11">
        <f t="shared" si="2"/>
        <v>4</v>
      </c>
      <c r="S6" s="8"/>
      <c r="T6" s="20">
        <v>0.183</v>
      </c>
      <c r="U6" s="20"/>
      <c r="V6" s="20">
        <v>0.22</v>
      </c>
      <c r="W6" s="20">
        <v>0.23</v>
      </c>
      <c r="X6" s="20"/>
      <c r="Y6" s="27">
        <f t="shared" si="3"/>
        <v>0.21099999999999999</v>
      </c>
      <c r="Z6" s="11">
        <f t="shared" si="4"/>
        <v>2.47588368062799E-2</v>
      </c>
      <c r="AA6" s="11">
        <f t="shared" si="5"/>
        <v>3</v>
      </c>
    </row>
    <row r="7" spans="1:27" ht="25.5">
      <c r="A7" s="8"/>
      <c r="G7" s="4">
        <v>20</v>
      </c>
      <c r="H7" s="11" t="s">
        <v>418</v>
      </c>
      <c r="I7" s="11">
        <v>0.12</v>
      </c>
      <c r="J7" s="20">
        <f>J6*DL_OH!$W$13</f>
        <v>0.20164639073030108</v>
      </c>
      <c r="K7" s="20">
        <f>K6*DL_OH!$W$18</f>
        <v>0.17974574257425743</v>
      </c>
      <c r="L7" s="20">
        <f>L6*DL_OH!$W$21</f>
        <v>0.35770297029702974</v>
      </c>
      <c r="M7" s="20">
        <f>M6*DL_OH!$W$8</f>
        <v>0.2370415426426814</v>
      </c>
      <c r="N7" s="27">
        <f t="shared" si="0"/>
        <v>0.24403416156106741</v>
      </c>
      <c r="O7" s="27">
        <f t="shared" si="1"/>
        <v>7.9370898803477835E-2</v>
      </c>
      <c r="P7" s="11">
        <f t="shared" si="2"/>
        <v>4</v>
      </c>
      <c r="S7" s="8"/>
      <c r="T7" s="20">
        <f>T6*DL_OH!$W$13</f>
        <v>0.20500716390913942</v>
      </c>
      <c r="U7" s="20"/>
      <c r="V7" s="20">
        <f>V6*DL_OH!$W$21</f>
        <v>0.24592079207920794</v>
      </c>
      <c r="W7" s="20">
        <f>W6*DL_OH!$W$8</f>
        <v>0.25961692765627015</v>
      </c>
      <c r="X7" s="20"/>
      <c r="Y7" s="27">
        <f t="shared" si="3"/>
        <v>0.23684829454820586</v>
      </c>
      <c r="Z7" s="11">
        <f t="shared" si="4"/>
        <v>2.8412835703549334E-2</v>
      </c>
      <c r="AA7" s="11">
        <f t="shared" si="5"/>
        <v>3</v>
      </c>
    </row>
    <row r="8" spans="1:27" ht="25.5">
      <c r="A8" s="8"/>
      <c r="G8" s="4">
        <v>40</v>
      </c>
      <c r="H8" s="11" t="s">
        <v>418</v>
      </c>
      <c r="I8" s="11">
        <v>0.12</v>
      </c>
      <c r="J8" s="20">
        <f>J6*DL_OH!$AA$13</f>
        <v>0.21470421617055663</v>
      </c>
      <c r="K8" s="20">
        <f>K6*DL_OH!$AA$18</f>
        <v>0.19120403028538149</v>
      </c>
      <c r="L8" s="20">
        <f>L6*DL_OH!$AA$21</f>
        <v>0.38050553290623185</v>
      </c>
      <c r="M8" s="20">
        <f>M6*DL_OH!$AA$8</f>
        <v>0.25321890772615491</v>
      </c>
      <c r="N8" s="27">
        <f t="shared" si="0"/>
        <v>0.2599081717720812</v>
      </c>
      <c r="O8" s="27">
        <f t="shared" si="1"/>
        <v>8.4364539204269118E-2</v>
      </c>
      <c r="P8" s="11">
        <f t="shared" si="2"/>
        <v>4</v>
      </c>
      <c r="S8" s="8"/>
      <c r="T8" s="20">
        <f>T6*DL_OH!$AA$13</f>
        <v>0.21828261977339924</v>
      </c>
      <c r="U8" s="20"/>
      <c r="V8" s="20">
        <f>V6*DL_OH!$AA$21</f>
        <v>0.26159755387303441</v>
      </c>
      <c r="W8" s="20">
        <f>W6*DL_OH!$AA$8</f>
        <v>0.27733499417626489</v>
      </c>
      <c r="X8" s="20"/>
      <c r="Y8" s="27">
        <f t="shared" si="3"/>
        <v>0.25240505594089951</v>
      </c>
      <c r="Z8" s="11">
        <f t="shared" si="4"/>
        <v>3.0580586069077938E-2</v>
      </c>
      <c r="AA8" s="11">
        <f t="shared" si="5"/>
        <v>3</v>
      </c>
    </row>
    <row r="9" spans="1:27">
      <c r="A9" s="8"/>
      <c r="N9" s="5"/>
      <c r="S9" s="8"/>
      <c r="Y9" s="5"/>
    </row>
    <row r="10" spans="1:27" ht="25.5">
      <c r="A10" s="8"/>
      <c r="B10" s="3" t="s">
        <v>413</v>
      </c>
      <c r="C10" s="3" t="s">
        <v>477</v>
      </c>
      <c r="D10" s="3" t="s">
        <v>424</v>
      </c>
      <c r="E10" s="3" t="s">
        <v>416</v>
      </c>
      <c r="G10" s="4">
        <v>10</v>
      </c>
      <c r="H10" s="3" t="s">
        <v>417</v>
      </c>
      <c r="I10" s="17">
        <v>3.3</v>
      </c>
      <c r="J10" s="2">
        <v>8.1340000000000003</v>
      </c>
      <c r="N10" s="5">
        <f t="shared" ref="N10:N15" si="6">AVERAGE(J10:M10)</f>
        <v>8.1340000000000003</v>
      </c>
      <c r="O10" s="5" t="e">
        <f t="shared" ref="O10:O15" si="7">SQRT(VAR(J10:M10))</f>
        <v>#DIV/0!</v>
      </c>
      <c r="P10" s="3">
        <f t="shared" ref="P10:P15" si="8">COUNT(J10:M10)</f>
        <v>1</v>
      </c>
      <c r="S10" s="8"/>
      <c r="T10" s="2">
        <v>8.1370000000000005</v>
      </c>
      <c r="Y10" s="5">
        <f t="shared" ref="Y10:Y15" si="9">AVERAGE(T10:X10)</f>
        <v>8.1370000000000005</v>
      </c>
      <c r="Z10" s="3" t="e">
        <f t="shared" ref="Z10:Z15" si="10">SQRT(VAR(T10:X10))</f>
        <v>#DIV/0!</v>
      </c>
      <c r="AA10" s="3">
        <f t="shared" ref="AA10:AA15" si="11">COUNT(T10:X10)</f>
        <v>1</v>
      </c>
    </row>
    <row r="11" spans="1:27" ht="25.5">
      <c r="A11" s="8"/>
      <c r="G11" s="4">
        <v>20</v>
      </c>
      <c r="H11" s="3" t="s">
        <v>417</v>
      </c>
      <c r="I11" s="17">
        <v>3.3</v>
      </c>
      <c r="J11" s="2">
        <f>J10*DL_OH!$W$14</f>
        <v>9.1274497342219494</v>
      </c>
      <c r="N11" s="5">
        <f t="shared" si="6"/>
        <v>9.1274497342219494</v>
      </c>
      <c r="O11" s="5" t="e">
        <f t="shared" si="7"/>
        <v>#DIV/0!</v>
      </c>
      <c r="P11" s="3">
        <f t="shared" si="8"/>
        <v>1</v>
      </c>
      <c r="S11" s="8"/>
      <c r="T11" s="2">
        <f>T10*DL_OH!$W$14</f>
        <v>9.1308161405660204</v>
      </c>
      <c r="Y11" s="5">
        <f t="shared" si="9"/>
        <v>9.1308161405660204</v>
      </c>
      <c r="Z11" s="3" t="e">
        <f t="shared" si="10"/>
        <v>#DIV/0!</v>
      </c>
      <c r="AA11" s="3">
        <f t="shared" si="11"/>
        <v>1</v>
      </c>
    </row>
    <row r="12" spans="1:27" ht="25.5">
      <c r="A12" s="8"/>
      <c r="G12" s="4">
        <v>40</v>
      </c>
      <c r="H12" s="3" t="s">
        <v>417</v>
      </c>
      <c r="I12" s="17">
        <v>3.3</v>
      </c>
      <c r="J12" s="2">
        <f>J10*DL_OH!$AA$14</f>
        <v>9.7255782423227171</v>
      </c>
      <c r="N12" s="5">
        <f t="shared" si="6"/>
        <v>9.7255782423227171</v>
      </c>
      <c r="O12" s="5" t="e">
        <f t="shared" si="7"/>
        <v>#DIV/0!</v>
      </c>
      <c r="P12" s="3">
        <f t="shared" si="8"/>
        <v>1</v>
      </c>
      <c r="S12" s="8"/>
      <c r="T12" s="2">
        <f>T10*DL_OH!$AA$14</f>
        <v>9.7291652517555871</v>
      </c>
      <c r="Y12" s="5">
        <f t="shared" si="9"/>
        <v>9.7291652517555871</v>
      </c>
      <c r="Z12" s="3" t="e">
        <f t="shared" si="10"/>
        <v>#DIV/0!</v>
      </c>
      <c r="AA12" s="3">
        <f t="shared" si="11"/>
        <v>1</v>
      </c>
    </row>
    <row r="13" spans="1:27" ht="25.5">
      <c r="A13" s="8"/>
      <c r="G13" s="4">
        <v>10</v>
      </c>
      <c r="H13" s="11" t="s">
        <v>418</v>
      </c>
      <c r="I13" s="11">
        <v>0.12</v>
      </c>
      <c r="J13" s="20">
        <v>0.20300000000000001</v>
      </c>
      <c r="K13" s="20"/>
      <c r="L13" s="20"/>
      <c r="M13" s="20"/>
      <c r="N13" s="27">
        <f t="shared" si="6"/>
        <v>0.20300000000000001</v>
      </c>
      <c r="O13" s="27" t="e">
        <f t="shared" si="7"/>
        <v>#DIV/0!</v>
      </c>
      <c r="P13" s="11">
        <f t="shared" si="8"/>
        <v>1</v>
      </c>
      <c r="S13" s="8"/>
      <c r="T13" s="20">
        <v>0.20100000000000001</v>
      </c>
      <c r="U13" s="20"/>
      <c r="V13" s="20"/>
      <c r="W13" s="20"/>
      <c r="X13" s="20"/>
      <c r="Y13" s="27">
        <f t="shared" si="9"/>
        <v>0.20100000000000001</v>
      </c>
      <c r="Z13" s="11" t="e">
        <f t="shared" si="10"/>
        <v>#DIV/0!</v>
      </c>
      <c r="AA13" s="11">
        <f t="shared" si="11"/>
        <v>1</v>
      </c>
    </row>
    <row r="14" spans="1:27" ht="25.5">
      <c r="A14" s="8"/>
      <c r="G14" s="4">
        <v>20</v>
      </c>
      <c r="H14" s="11" t="s">
        <v>418</v>
      </c>
      <c r="I14" s="11">
        <v>0.12</v>
      </c>
      <c r="J14" s="20">
        <f>J13*DL_OH!$W$14</f>
        <v>0.22779349594874057</v>
      </c>
      <c r="K14" s="20"/>
      <c r="L14" s="20"/>
      <c r="M14" s="20"/>
      <c r="N14" s="27">
        <f t="shared" si="6"/>
        <v>0.22779349594874057</v>
      </c>
      <c r="O14" s="27" t="e">
        <f t="shared" si="7"/>
        <v>#DIV/0!</v>
      </c>
      <c r="P14" s="11">
        <f t="shared" si="8"/>
        <v>1</v>
      </c>
      <c r="S14" s="8"/>
      <c r="T14" s="20">
        <f>T13*DL_OH!$W$14</f>
        <v>0.22554922505269387</v>
      </c>
      <c r="U14" s="20"/>
      <c r="V14" s="20"/>
      <c r="W14" s="20"/>
      <c r="X14" s="20"/>
      <c r="Y14" s="27">
        <f t="shared" si="9"/>
        <v>0.22554922505269387</v>
      </c>
      <c r="Z14" s="11" t="e">
        <f t="shared" si="10"/>
        <v>#DIV/0!</v>
      </c>
      <c r="AA14" s="11">
        <f t="shared" si="11"/>
        <v>1</v>
      </c>
    </row>
    <row r="15" spans="1:27" ht="25.5">
      <c r="A15" s="8"/>
      <c r="G15" s="4">
        <v>40</v>
      </c>
      <c r="H15" s="11" t="s">
        <v>418</v>
      </c>
      <c r="I15" s="11">
        <v>0.12</v>
      </c>
      <c r="J15" s="20">
        <f>J13*DL_OH!$AA$14</f>
        <v>0.24272097162423303</v>
      </c>
      <c r="K15" s="20"/>
      <c r="L15" s="20"/>
      <c r="M15" s="20"/>
      <c r="N15" s="27">
        <f t="shared" si="6"/>
        <v>0.24272097162423303</v>
      </c>
      <c r="O15" s="27" t="e">
        <f t="shared" si="7"/>
        <v>#DIV/0!</v>
      </c>
      <c r="P15" s="11">
        <f t="shared" si="8"/>
        <v>1</v>
      </c>
      <c r="S15" s="8"/>
      <c r="T15" s="20">
        <f>T13*DL_OH!$AA$14</f>
        <v>0.24032963200231941</v>
      </c>
      <c r="U15" s="20"/>
      <c r="V15" s="20"/>
      <c r="W15" s="20"/>
      <c r="X15" s="20"/>
      <c r="Y15" s="27">
        <f t="shared" si="9"/>
        <v>0.24032963200231941</v>
      </c>
      <c r="Z15" s="11" t="e">
        <f t="shared" si="10"/>
        <v>#DIV/0!</v>
      </c>
      <c r="AA15" s="11">
        <f t="shared" si="11"/>
        <v>1</v>
      </c>
    </row>
    <row r="16" spans="1:27">
      <c r="A16" s="8"/>
      <c r="N16" s="5"/>
      <c r="S16" s="8"/>
    </row>
    <row r="17" spans="1:27">
      <c r="A17" s="8"/>
      <c r="N17" s="5"/>
      <c r="S17" s="8"/>
      <c r="Y17" s="5"/>
    </row>
    <row r="18" spans="1:27" ht="25.5">
      <c r="A18" s="8"/>
      <c r="B18" s="3" t="s">
        <v>413</v>
      </c>
      <c r="C18" s="3" t="s">
        <v>478</v>
      </c>
      <c r="D18" s="3" t="s">
        <v>424</v>
      </c>
      <c r="E18" s="3" t="s">
        <v>416</v>
      </c>
      <c r="G18" s="4">
        <v>10</v>
      </c>
      <c r="H18" s="3" t="s">
        <v>417</v>
      </c>
      <c r="I18" s="17">
        <v>3.3</v>
      </c>
      <c r="N18" s="5" t="e">
        <f t="shared" ref="N18:N30" si="12">AVERAGE(J18:M18)</f>
        <v>#DIV/0!</v>
      </c>
      <c r="O18" s="5" t="e">
        <f t="shared" ref="O18:O30" si="13">SQRT(VAR(J18:M18))</f>
        <v>#DIV/0!</v>
      </c>
      <c r="P18" s="3">
        <f t="shared" ref="P18:P30" si="14">COUNT(J18:M18)</f>
        <v>0</v>
      </c>
      <c r="S18" s="8"/>
      <c r="Y18" s="5" t="e">
        <f t="shared" ref="Y18:Y23" si="15">AVERAGE(T18:X18)</f>
        <v>#DIV/0!</v>
      </c>
      <c r="Z18" s="3" t="e">
        <f t="shared" ref="Z18:Z23" si="16">SQRT(VAR(T18:X18))</f>
        <v>#DIV/0!</v>
      </c>
      <c r="AA18" s="3">
        <f t="shared" ref="AA18:AA23" si="17">COUNT(T18:X18)</f>
        <v>0</v>
      </c>
    </row>
    <row r="19" spans="1:27" ht="25.5">
      <c r="A19" s="8"/>
      <c r="G19" s="4">
        <v>20</v>
      </c>
      <c r="H19" s="3" t="s">
        <v>417</v>
      </c>
      <c r="I19" s="17">
        <v>3.3</v>
      </c>
      <c r="N19" s="5" t="e">
        <f t="shared" si="12"/>
        <v>#DIV/0!</v>
      </c>
      <c r="O19" s="5" t="e">
        <f t="shared" si="13"/>
        <v>#DIV/0!</v>
      </c>
      <c r="P19" s="3">
        <f t="shared" si="14"/>
        <v>0</v>
      </c>
      <c r="S19" s="8"/>
      <c r="Y19" s="5" t="e">
        <f t="shared" si="15"/>
        <v>#DIV/0!</v>
      </c>
      <c r="Z19" s="3" t="e">
        <f t="shared" si="16"/>
        <v>#DIV/0!</v>
      </c>
      <c r="AA19" s="3">
        <f t="shared" si="17"/>
        <v>0</v>
      </c>
    </row>
    <row r="20" spans="1:27" ht="25.5">
      <c r="A20" s="8"/>
      <c r="G20" s="4">
        <v>40</v>
      </c>
      <c r="H20" s="3" t="s">
        <v>417</v>
      </c>
      <c r="I20" s="17">
        <v>3.3</v>
      </c>
      <c r="N20" s="5" t="e">
        <f t="shared" si="12"/>
        <v>#DIV/0!</v>
      </c>
      <c r="O20" s="5" t="e">
        <f t="shared" si="13"/>
        <v>#DIV/0!</v>
      </c>
      <c r="P20" s="3">
        <f t="shared" si="14"/>
        <v>0</v>
      </c>
      <c r="S20" s="8"/>
      <c r="Y20" s="5" t="e">
        <f t="shared" si="15"/>
        <v>#DIV/0!</v>
      </c>
      <c r="Z20" s="3" t="e">
        <f t="shared" si="16"/>
        <v>#DIV/0!</v>
      </c>
      <c r="AA20" s="3">
        <f t="shared" si="17"/>
        <v>0</v>
      </c>
    </row>
    <row r="21" spans="1:27" ht="25.5">
      <c r="A21" s="8"/>
      <c r="G21" s="4">
        <v>10</v>
      </c>
      <c r="H21" s="11" t="s">
        <v>418</v>
      </c>
      <c r="I21" s="11">
        <v>0.12</v>
      </c>
      <c r="J21" s="20"/>
      <c r="K21" s="20"/>
      <c r="L21" s="20"/>
      <c r="M21" s="20"/>
      <c r="N21" s="27" t="e">
        <f t="shared" si="12"/>
        <v>#DIV/0!</v>
      </c>
      <c r="O21" s="27" t="e">
        <f t="shared" si="13"/>
        <v>#DIV/0!</v>
      </c>
      <c r="P21" s="11">
        <f t="shared" si="14"/>
        <v>0</v>
      </c>
      <c r="S21" s="8"/>
      <c r="T21" s="20"/>
      <c r="U21" s="20"/>
      <c r="V21" s="20"/>
      <c r="W21" s="20"/>
      <c r="X21" s="20"/>
      <c r="Y21" s="27" t="e">
        <f t="shared" si="15"/>
        <v>#DIV/0!</v>
      </c>
      <c r="Z21" s="11" t="e">
        <f t="shared" si="16"/>
        <v>#DIV/0!</v>
      </c>
      <c r="AA21" s="11">
        <f t="shared" si="17"/>
        <v>0</v>
      </c>
    </row>
    <row r="22" spans="1:27" ht="25.5">
      <c r="A22" s="8"/>
      <c r="G22" s="4">
        <v>20</v>
      </c>
      <c r="H22" s="11" t="s">
        <v>418</v>
      </c>
      <c r="I22" s="11">
        <v>0.12</v>
      </c>
      <c r="J22" s="20"/>
      <c r="K22" s="20"/>
      <c r="L22" s="20"/>
      <c r="M22" s="20"/>
      <c r="N22" s="27" t="e">
        <f t="shared" si="12"/>
        <v>#DIV/0!</v>
      </c>
      <c r="O22" s="27" t="e">
        <f t="shared" si="13"/>
        <v>#DIV/0!</v>
      </c>
      <c r="P22" s="11">
        <f t="shared" si="14"/>
        <v>0</v>
      </c>
      <c r="S22" s="8"/>
      <c r="T22" s="20"/>
      <c r="U22" s="20"/>
      <c r="V22" s="20"/>
      <c r="W22" s="20"/>
      <c r="X22" s="20"/>
      <c r="Y22" s="27" t="e">
        <f t="shared" si="15"/>
        <v>#DIV/0!</v>
      </c>
      <c r="Z22" s="11" t="e">
        <f t="shared" si="16"/>
        <v>#DIV/0!</v>
      </c>
      <c r="AA22" s="11">
        <f t="shared" si="17"/>
        <v>0</v>
      </c>
    </row>
    <row r="23" spans="1:27" ht="25.5">
      <c r="A23" s="8"/>
      <c r="G23" s="4">
        <v>40</v>
      </c>
      <c r="H23" s="11" t="s">
        <v>418</v>
      </c>
      <c r="I23" s="11">
        <v>0.12</v>
      </c>
      <c r="J23" s="20"/>
      <c r="K23" s="20"/>
      <c r="L23" s="20"/>
      <c r="M23" s="20"/>
      <c r="N23" s="27" t="e">
        <f t="shared" si="12"/>
        <v>#DIV/0!</v>
      </c>
      <c r="O23" s="27" t="e">
        <f t="shared" si="13"/>
        <v>#DIV/0!</v>
      </c>
      <c r="P23" s="11">
        <f t="shared" si="14"/>
        <v>0</v>
      </c>
      <c r="S23" s="8"/>
      <c r="T23" s="20"/>
      <c r="U23" s="20"/>
      <c r="V23" s="20"/>
      <c r="W23" s="20"/>
      <c r="X23" s="20"/>
      <c r="Y23" s="27" t="e">
        <f t="shared" si="15"/>
        <v>#DIV/0!</v>
      </c>
      <c r="Z23" s="11" t="e">
        <f t="shared" si="16"/>
        <v>#DIV/0!</v>
      </c>
      <c r="AA23" s="11">
        <f t="shared" si="17"/>
        <v>0</v>
      </c>
    </row>
    <row r="24" spans="1:27">
      <c r="A24" s="8"/>
      <c r="N24" s="5" t="e">
        <f t="shared" si="12"/>
        <v>#DIV/0!</v>
      </c>
      <c r="O24" s="5" t="e">
        <f t="shared" si="13"/>
        <v>#DIV/0!</v>
      </c>
      <c r="P24" s="3">
        <f t="shared" si="14"/>
        <v>0</v>
      </c>
      <c r="S24" s="8"/>
      <c r="Y24" s="5"/>
    </row>
    <row r="25" spans="1:27" ht="38.25">
      <c r="A25" s="12"/>
      <c r="B25" s="3" t="s">
        <v>413</v>
      </c>
      <c r="C25" s="3" t="s">
        <v>476</v>
      </c>
      <c r="D25" s="3" t="s">
        <v>479</v>
      </c>
      <c r="E25" s="3" t="s">
        <v>416</v>
      </c>
      <c r="G25" s="4">
        <v>10</v>
      </c>
      <c r="H25" s="3" t="s">
        <v>417</v>
      </c>
      <c r="I25" s="17">
        <v>3.3</v>
      </c>
      <c r="N25" s="5" t="e">
        <f t="shared" si="12"/>
        <v>#DIV/0!</v>
      </c>
      <c r="O25" s="5" t="e">
        <f t="shared" si="13"/>
        <v>#DIV/0!</v>
      </c>
      <c r="P25" s="3">
        <f t="shared" si="14"/>
        <v>0</v>
      </c>
      <c r="S25" s="12"/>
      <c r="Y25" s="5" t="e">
        <f t="shared" ref="Y25:Y30" si="18">AVERAGE(T25:X25)</f>
        <v>#DIV/0!</v>
      </c>
      <c r="Z25" s="3" t="e">
        <f t="shared" ref="Z25:Z30" si="19">SQRT(VAR(T25:X25))</f>
        <v>#DIV/0!</v>
      </c>
      <c r="AA25" s="3">
        <f t="shared" ref="AA25:AA30" si="20">COUNT(T25:X25)</f>
        <v>0</v>
      </c>
    </row>
    <row r="26" spans="1:27" ht="25.5">
      <c r="A26" s="12"/>
      <c r="G26" s="4">
        <v>20</v>
      </c>
      <c r="H26" s="3" t="s">
        <v>417</v>
      </c>
      <c r="I26" s="17">
        <v>3.3</v>
      </c>
      <c r="N26" s="5" t="e">
        <f t="shared" si="12"/>
        <v>#DIV/0!</v>
      </c>
      <c r="O26" s="5" t="e">
        <f t="shared" si="13"/>
        <v>#DIV/0!</v>
      </c>
      <c r="P26" s="3">
        <f t="shared" si="14"/>
        <v>0</v>
      </c>
      <c r="S26" s="12"/>
      <c r="Y26" s="5" t="e">
        <f t="shared" si="18"/>
        <v>#DIV/0!</v>
      </c>
      <c r="Z26" s="3" t="e">
        <f t="shared" si="19"/>
        <v>#DIV/0!</v>
      </c>
      <c r="AA26" s="3">
        <f t="shared" si="20"/>
        <v>0</v>
      </c>
    </row>
    <row r="27" spans="1:27" ht="25.5">
      <c r="A27" s="12"/>
      <c r="G27" s="4">
        <v>40</v>
      </c>
      <c r="H27" s="3" t="s">
        <v>417</v>
      </c>
      <c r="I27" s="17">
        <v>3.3</v>
      </c>
      <c r="N27" s="5" t="e">
        <f t="shared" si="12"/>
        <v>#DIV/0!</v>
      </c>
      <c r="O27" s="5" t="e">
        <f t="shared" si="13"/>
        <v>#DIV/0!</v>
      </c>
      <c r="P27" s="3">
        <f t="shared" si="14"/>
        <v>0</v>
      </c>
      <c r="S27" s="12"/>
      <c r="Y27" s="5" t="e">
        <f t="shared" si="18"/>
        <v>#DIV/0!</v>
      </c>
      <c r="Z27" s="3" t="e">
        <f t="shared" si="19"/>
        <v>#DIV/0!</v>
      </c>
      <c r="AA27" s="3">
        <f t="shared" si="20"/>
        <v>0</v>
      </c>
    </row>
    <row r="28" spans="1:27" ht="25.5">
      <c r="A28" s="12"/>
      <c r="G28" s="4">
        <v>10</v>
      </c>
      <c r="H28" s="11" t="s">
        <v>418</v>
      </c>
      <c r="I28" s="11">
        <v>0.12</v>
      </c>
      <c r="J28" s="20"/>
      <c r="K28" s="20"/>
      <c r="L28" s="20"/>
      <c r="M28" s="20"/>
      <c r="N28" s="27" t="e">
        <f t="shared" si="12"/>
        <v>#DIV/0!</v>
      </c>
      <c r="O28" s="27" t="e">
        <f t="shared" si="13"/>
        <v>#DIV/0!</v>
      </c>
      <c r="P28" s="11">
        <f t="shared" si="14"/>
        <v>0</v>
      </c>
      <c r="S28" s="12"/>
      <c r="T28" s="20"/>
      <c r="U28" s="20"/>
      <c r="V28" s="20"/>
      <c r="W28" s="20"/>
      <c r="X28" s="20"/>
      <c r="Y28" s="27" t="e">
        <f t="shared" si="18"/>
        <v>#DIV/0!</v>
      </c>
      <c r="Z28" s="11" t="e">
        <f t="shared" si="19"/>
        <v>#DIV/0!</v>
      </c>
      <c r="AA28" s="11">
        <f t="shared" si="20"/>
        <v>0</v>
      </c>
    </row>
    <row r="29" spans="1:27" ht="25.5">
      <c r="A29" s="12"/>
      <c r="G29" s="4">
        <v>20</v>
      </c>
      <c r="H29" s="11" t="s">
        <v>418</v>
      </c>
      <c r="I29" s="11">
        <v>0.12</v>
      </c>
      <c r="J29" s="20"/>
      <c r="K29" s="20"/>
      <c r="L29" s="20"/>
      <c r="M29" s="20"/>
      <c r="N29" s="27" t="e">
        <f t="shared" si="12"/>
        <v>#DIV/0!</v>
      </c>
      <c r="O29" s="27" t="e">
        <f t="shared" si="13"/>
        <v>#DIV/0!</v>
      </c>
      <c r="P29" s="11">
        <f t="shared" si="14"/>
        <v>0</v>
      </c>
      <c r="S29" s="12"/>
      <c r="T29" s="20"/>
      <c r="U29" s="20"/>
      <c r="V29" s="20"/>
      <c r="W29" s="20"/>
      <c r="X29" s="20"/>
      <c r="Y29" s="27" t="e">
        <f t="shared" si="18"/>
        <v>#DIV/0!</v>
      </c>
      <c r="Z29" s="11" t="e">
        <f t="shared" si="19"/>
        <v>#DIV/0!</v>
      </c>
      <c r="AA29" s="11">
        <f t="shared" si="20"/>
        <v>0</v>
      </c>
    </row>
    <row r="30" spans="1:27" ht="25.5">
      <c r="A30" s="12"/>
      <c r="G30" s="4">
        <v>40</v>
      </c>
      <c r="H30" s="11" t="s">
        <v>418</v>
      </c>
      <c r="I30" s="11">
        <v>0.12</v>
      </c>
      <c r="J30" s="20"/>
      <c r="K30" s="20"/>
      <c r="L30" s="20"/>
      <c r="M30" s="20"/>
      <c r="N30" s="27" t="e">
        <f t="shared" si="12"/>
        <v>#DIV/0!</v>
      </c>
      <c r="O30" s="27" t="e">
        <f t="shared" si="13"/>
        <v>#DIV/0!</v>
      </c>
      <c r="P30" s="11">
        <f t="shared" si="14"/>
        <v>0</v>
      </c>
      <c r="S30" s="12"/>
      <c r="T30" s="20"/>
      <c r="U30" s="20"/>
      <c r="V30" s="20"/>
      <c r="W30" s="20"/>
      <c r="X30" s="20"/>
      <c r="Y30" s="27" t="e">
        <f t="shared" si="18"/>
        <v>#DIV/0!</v>
      </c>
      <c r="Z30" s="11" t="e">
        <f t="shared" si="19"/>
        <v>#DIV/0!</v>
      </c>
      <c r="AA30" s="11">
        <f t="shared" si="20"/>
        <v>0</v>
      </c>
    </row>
    <row r="31" spans="1:27">
      <c r="A31" s="8"/>
      <c r="N31" s="5"/>
      <c r="S31" s="8"/>
      <c r="Y31" s="5"/>
    </row>
    <row r="32" spans="1:27" ht="25.5">
      <c r="A32" s="12"/>
      <c r="B32" s="3" t="s">
        <v>413</v>
      </c>
      <c r="C32" s="3" t="s">
        <v>476</v>
      </c>
      <c r="D32" s="3" t="s">
        <v>480</v>
      </c>
      <c r="E32" s="3" t="s">
        <v>416</v>
      </c>
      <c r="G32" s="4">
        <v>10</v>
      </c>
      <c r="H32" s="3" t="s">
        <v>417</v>
      </c>
      <c r="I32" s="17">
        <v>3.3</v>
      </c>
      <c r="N32" s="5" t="e">
        <f t="shared" ref="N32:N37" si="21">AVERAGE(J32:M32)</f>
        <v>#DIV/0!</v>
      </c>
      <c r="O32" s="5" t="e">
        <f t="shared" ref="O32:O37" si="22">SQRT(VAR(J32:M32))</f>
        <v>#DIV/0!</v>
      </c>
      <c r="P32" s="3">
        <f t="shared" ref="P32:P37" si="23">COUNT(J32:M32)</f>
        <v>0</v>
      </c>
      <c r="S32" s="12"/>
      <c r="Y32" s="5" t="e">
        <f t="shared" ref="Y32:Y37" si="24">AVERAGE(T32:X32)</f>
        <v>#DIV/0!</v>
      </c>
      <c r="Z32" s="3" t="e">
        <f t="shared" ref="Z32:Z37" si="25">SQRT(VAR(T32:X32))</f>
        <v>#DIV/0!</v>
      </c>
      <c r="AA32" s="3">
        <f t="shared" ref="AA32:AA37" si="26">COUNT(T32:X32)</f>
        <v>0</v>
      </c>
    </row>
    <row r="33" spans="1:27" ht="25.5">
      <c r="A33" s="12"/>
      <c r="G33" s="4">
        <v>20</v>
      </c>
      <c r="H33" s="3" t="s">
        <v>417</v>
      </c>
      <c r="I33" s="17">
        <v>3.3</v>
      </c>
      <c r="N33" s="5" t="e">
        <f t="shared" si="21"/>
        <v>#DIV/0!</v>
      </c>
      <c r="O33" s="5" t="e">
        <f t="shared" si="22"/>
        <v>#DIV/0!</v>
      </c>
      <c r="P33" s="3">
        <f t="shared" si="23"/>
        <v>0</v>
      </c>
      <c r="S33" s="12"/>
      <c r="Y33" s="5" t="e">
        <f t="shared" si="24"/>
        <v>#DIV/0!</v>
      </c>
      <c r="Z33" s="3" t="e">
        <f t="shared" si="25"/>
        <v>#DIV/0!</v>
      </c>
      <c r="AA33" s="3">
        <f t="shared" si="26"/>
        <v>0</v>
      </c>
    </row>
    <row r="34" spans="1:27" ht="25.5">
      <c r="A34" s="12"/>
      <c r="G34" s="4">
        <v>40</v>
      </c>
      <c r="H34" s="3" t="s">
        <v>417</v>
      </c>
      <c r="I34" s="17">
        <v>3.3</v>
      </c>
      <c r="N34" s="5" t="e">
        <f t="shared" si="21"/>
        <v>#DIV/0!</v>
      </c>
      <c r="O34" s="5" t="e">
        <f t="shared" si="22"/>
        <v>#DIV/0!</v>
      </c>
      <c r="P34" s="3">
        <f t="shared" si="23"/>
        <v>0</v>
      </c>
      <c r="S34" s="12"/>
      <c r="Y34" s="5" t="e">
        <f t="shared" si="24"/>
        <v>#DIV/0!</v>
      </c>
      <c r="Z34" s="3" t="e">
        <f t="shared" si="25"/>
        <v>#DIV/0!</v>
      </c>
      <c r="AA34" s="3">
        <f t="shared" si="26"/>
        <v>0</v>
      </c>
    </row>
    <row r="35" spans="1:27" ht="25.5">
      <c r="A35" s="12"/>
      <c r="G35" s="4">
        <v>10</v>
      </c>
      <c r="H35" s="11" t="s">
        <v>418</v>
      </c>
      <c r="I35" s="11">
        <v>0.12</v>
      </c>
      <c r="J35" s="20"/>
      <c r="K35" s="20"/>
      <c r="L35" s="20"/>
      <c r="M35" s="20"/>
      <c r="N35" s="27" t="e">
        <f t="shared" si="21"/>
        <v>#DIV/0!</v>
      </c>
      <c r="O35" s="27" t="e">
        <f t="shared" si="22"/>
        <v>#DIV/0!</v>
      </c>
      <c r="P35" s="11">
        <f t="shared" si="23"/>
        <v>0</v>
      </c>
      <c r="S35" s="12"/>
      <c r="T35" s="20"/>
      <c r="U35" s="20"/>
      <c r="V35" s="20"/>
      <c r="W35" s="20"/>
      <c r="X35" s="20"/>
      <c r="Y35" s="27" t="e">
        <f t="shared" si="24"/>
        <v>#DIV/0!</v>
      </c>
      <c r="Z35" s="11" t="e">
        <f t="shared" si="25"/>
        <v>#DIV/0!</v>
      </c>
      <c r="AA35" s="11">
        <f t="shared" si="26"/>
        <v>0</v>
      </c>
    </row>
    <row r="36" spans="1:27" ht="25.5">
      <c r="A36" s="12"/>
      <c r="G36" s="4">
        <v>20</v>
      </c>
      <c r="H36" s="11" t="s">
        <v>418</v>
      </c>
      <c r="I36" s="11">
        <v>0.12</v>
      </c>
      <c r="J36" s="20"/>
      <c r="K36" s="20"/>
      <c r="L36" s="20"/>
      <c r="M36" s="20"/>
      <c r="N36" s="27" t="e">
        <f t="shared" si="21"/>
        <v>#DIV/0!</v>
      </c>
      <c r="O36" s="27" t="e">
        <f t="shared" si="22"/>
        <v>#DIV/0!</v>
      </c>
      <c r="P36" s="11">
        <f t="shared" si="23"/>
        <v>0</v>
      </c>
      <c r="S36" s="12"/>
      <c r="T36" s="20"/>
      <c r="U36" s="20"/>
      <c r="V36" s="20"/>
      <c r="W36" s="20"/>
      <c r="X36" s="20"/>
      <c r="Y36" s="27" t="e">
        <f t="shared" si="24"/>
        <v>#DIV/0!</v>
      </c>
      <c r="Z36" s="11" t="e">
        <f t="shared" si="25"/>
        <v>#DIV/0!</v>
      </c>
      <c r="AA36" s="11">
        <f t="shared" si="26"/>
        <v>0</v>
      </c>
    </row>
    <row r="37" spans="1:27" ht="25.5">
      <c r="A37" s="12"/>
      <c r="G37" s="4">
        <v>40</v>
      </c>
      <c r="H37" s="11" t="s">
        <v>418</v>
      </c>
      <c r="I37" s="11">
        <v>0.12</v>
      </c>
      <c r="J37" s="20"/>
      <c r="K37" s="20"/>
      <c r="L37" s="20"/>
      <c r="M37" s="20"/>
      <c r="N37" s="27" t="e">
        <f t="shared" si="21"/>
        <v>#DIV/0!</v>
      </c>
      <c r="O37" s="27" t="e">
        <f t="shared" si="22"/>
        <v>#DIV/0!</v>
      </c>
      <c r="P37" s="11">
        <f t="shared" si="23"/>
        <v>0</v>
      </c>
      <c r="S37" s="12"/>
      <c r="T37" s="20"/>
      <c r="U37" s="20"/>
      <c r="V37" s="20"/>
      <c r="W37" s="20"/>
      <c r="X37" s="20"/>
      <c r="Y37" s="27" t="e">
        <f t="shared" si="24"/>
        <v>#DIV/0!</v>
      </c>
      <c r="Z37" s="11" t="e">
        <f t="shared" si="25"/>
        <v>#DIV/0!</v>
      </c>
      <c r="AA37" s="11">
        <f t="shared" si="26"/>
        <v>0</v>
      </c>
    </row>
    <row r="38" spans="1:27">
      <c r="A38" s="8"/>
      <c r="N38" s="5"/>
      <c r="S38" s="8"/>
      <c r="Y38" s="5"/>
    </row>
    <row r="39" spans="1:27" ht="25.5">
      <c r="A39" s="8"/>
      <c r="B39" s="9" t="s">
        <v>50</v>
      </c>
      <c r="C39" s="9"/>
      <c r="D39" s="9" t="s">
        <v>50</v>
      </c>
      <c r="E39" s="9"/>
      <c r="F39" s="9"/>
      <c r="G39" s="10"/>
      <c r="H39" s="13"/>
      <c r="I39" s="13"/>
      <c r="J39" s="16"/>
      <c r="K39" s="16"/>
      <c r="L39" s="16"/>
      <c r="M39" s="16"/>
      <c r="N39" s="26"/>
      <c r="O39" s="26"/>
      <c r="P39" s="13"/>
      <c r="S39" s="8"/>
      <c r="T39" s="16"/>
      <c r="U39" s="16"/>
      <c r="V39" s="16"/>
      <c r="W39" s="16"/>
      <c r="X39" s="16"/>
      <c r="Y39" s="26"/>
      <c r="Z39" s="13"/>
      <c r="AA39" s="13"/>
    </row>
    <row r="40" spans="1:27" ht="31.5" customHeight="1">
      <c r="A40" s="8"/>
      <c r="B40" s="3" t="s">
        <v>413</v>
      </c>
      <c r="C40" s="3" t="s">
        <v>476</v>
      </c>
      <c r="D40" s="3" t="s">
        <v>481</v>
      </c>
      <c r="E40" s="3" t="s">
        <v>429</v>
      </c>
      <c r="F40" s="3" t="s">
        <v>69</v>
      </c>
      <c r="G40" s="4">
        <v>20</v>
      </c>
      <c r="H40" s="3" t="s">
        <v>417</v>
      </c>
      <c r="I40" s="17">
        <v>3.3</v>
      </c>
      <c r="J40" s="2">
        <f>DL_OH!S57*7.63</f>
        <v>7.7739622641509429</v>
      </c>
      <c r="K40" s="2">
        <f>DL_OH!S67*7.5585</f>
        <v>7.6291401869158877</v>
      </c>
      <c r="N40" s="5">
        <f t="shared" ref="N40:N45" si="27">AVERAGE(J40:M40)</f>
        <v>7.7015512255334153</v>
      </c>
      <c r="O40" s="5">
        <f t="shared" ref="O40:O45" si="28">SQRT(VAR(J40:M40))</f>
        <v>0.1024046728784295</v>
      </c>
      <c r="P40" s="3">
        <f t="shared" ref="P40:P45" si="29">COUNT(J40:M40)</f>
        <v>2</v>
      </c>
      <c r="S40" s="8"/>
      <c r="T40" s="2">
        <f>DL_OH!S57*7.641</f>
        <v>7.7851698113207544</v>
      </c>
      <c r="W40" s="2">
        <f>DL_OH!S61*8.65</f>
        <v>8.4867924528301906</v>
      </c>
      <c r="Y40" s="5">
        <f t="shared" ref="Y40:Y45" si="30">AVERAGE(T40:X40)</f>
        <v>8.1359811320754716</v>
      </c>
      <c r="Z40" s="3">
        <f t="shared" ref="Z40:Z45" si="31">SQRT(VAR(T40:X40))</f>
        <v>0.49612212764534042</v>
      </c>
      <c r="AA40" s="3">
        <f t="shared" ref="AA40:AA45" si="32">COUNT(T40:X40)</f>
        <v>2</v>
      </c>
    </row>
    <row r="41" spans="1:27" ht="31.5" customHeight="1">
      <c r="A41" s="8"/>
      <c r="G41" s="4">
        <v>40</v>
      </c>
      <c r="H41" s="3" t="s">
        <v>417</v>
      </c>
      <c r="I41" s="17">
        <v>3.3</v>
      </c>
      <c r="J41" s="2">
        <f>J40*DL_OH!$W$57</f>
        <v>9.0029927919426775</v>
      </c>
      <c r="K41" s="2">
        <f>K40*DL_OH!$W$67</f>
        <v>8.7898065447442235</v>
      </c>
      <c r="N41" s="5">
        <f t="shared" si="27"/>
        <v>8.8963996683434505</v>
      </c>
      <c r="O41" s="5">
        <f t="shared" si="28"/>
        <v>0.15074544104973847</v>
      </c>
      <c r="P41" s="3">
        <f t="shared" si="29"/>
        <v>2</v>
      </c>
      <c r="S41" s="8"/>
      <c r="T41" s="2">
        <f>T40*DL_OH!$W$57</f>
        <v>9.0159722048799473</v>
      </c>
      <c r="W41" s="2">
        <f>W40*DL_OH!$W$61</f>
        <v>9.8793073856220825</v>
      </c>
      <c r="Y41" s="5">
        <f t="shared" si="30"/>
        <v>9.447639795251014</v>
      </c>
      <c r="Z41" s="3">
        <f t="shared" si="31"/>
        <v>0.61047016073967753</v>
      </c>
      <c r="AA41" s="3">
        <f t="shared" si="32"/>
        <v>2</v>
      </c>
    </row>
    <row r="42" spans="1:27" ht="31.5" customHeight="1">
      <c r="A42" s="8"/>
      <c r="G42" s="4">
        <v>100</v>
      </c>
      <c r="H42" s="3" t="s">
        <v>417</v>
      </c>
      <c r="I42" s="17">
        <v>3.3</v>
      </c>
      <c r="J42" s="2">
        <f>J40*DL_OH!$AA$57</f>
        <v>9.8420967213466568</v>
      </c>
      <c r="K42" s="2">
        <f>K40*DL_OH!$AA$67</f>
        <v>9.5839945928799928</v>
      </c>
      <c r="N42" s="5">
        <f t="shared" si="27"/>
        <v>9.7130456571133248</v>
      </c>
      <c r="O42" s="5">
        <f t="shared" si="28"/>
        <v>0.18250576527745957</v>
      </c>
      <c r="P42" s="3">
        <f t="shared" si="29"/>
        <v>2</v>
      </c>
      <c r="S42" s="8"/>
      <c r="T42" s="2">
        <f>T40*DL_OH!$AA$57</f>
        <v>9.8562858516133414</v>
      </c>
      <c r="W42" s="2">
        <f>W40*DL_OH!$AA$61</f>
        <v>10.828432818375356</v>
      </c>
      <c r="Y42" s="5">
        <f t="shared" si="30"/>
        <v>10.342359334994349</v>
      </c>
      <c r="Z42" s="3">
        <f t="shared" si="31"/>
        <v>0.68741171250735389</v>
      </c>
      <c r="AA42" s="3">
        <f t="shared" si="32"/>
        <v>2</v>
      </c>
    </row>
    <row r="43" spans="1:27" ht="25.5">
      <c r="A43" s="8"/>
      <c r="G43" s="4">
        <v>20</v>
      </c>
      <c r="H43" s="11" t="s">
        <v>418</v>
      </c>
      <c r="I43" s="11">
        <v>0.12</v>
      </c>
      <c r="J43" s="20">
        <f>DL_OH!S57*0.209</f>
        <v>0.21294339622641509</v>
      </c>
      <c r="K43" s="20">
        <f>DL_OH!S67*0.1824</f>
        <v>0.18410467289719626</v>
      </c>
      <c r="L43" s="20"/>
      <c r="M43" s="20"/>
      <c r="N43" s="27">
        <f t="shared" si="27"/>
        <v>0.19852403456180567</v>
      </c>
      <c r="O43" s="27">
        <f t="shared" si="28"/>
        <v>2.0392056826853324E-2</v>
      </c>
      <c r="P43" s="11">
        <f t="shared" si="29"/>
        <v>2</v>
      </c>
      <c r="S43" s="8"/>
      <c r="T43" s="20">
        <f>DL_OH!S57*0.178</f>
        <v>0.18135849056603773</v>
      </c>
      <c r="U43" s="20"/>
      <c r="V43" s="20"/>
      <c r="W43" s="20">
        <f>DL_OH!S61*0.32</f>
        <v>0.31396226415094347</v>
      </c>
      <c r="X43" s="20"/>
      <c r="Y43" s="27">
        <f t="shared" si="30"/>
        <v>0.24766037735849061</v>
      </c>
      <c r="Z43" s="11">
        <f t="shared" si="31"/>
        <v>9.3765027512812321E-2</v>
      </c>
      <c r="AA43" s="11">
        <f t="shared" si="32"/>
        <v>2</v>
      </c>
    </row>
    <row r="44" spans="1:27" ht="25.5">
      <c r="A44" s="8"/>
      <c r="G44" s="4">
        <v>40</v>
      </c>
      <c r="H44" s="11" t="s">
        <v>418</v>
      </c>
      <c r="I44" s="11">
        <v>0.12</v>
      </c>
      <c r="J44" s="20">
        <f>J43*DL_OH!$W$57</f>
        <v>0.24660884580812839</v>
      </c>
      <c r="K44" s="20">
        <f>K43*DL_OH!$W$67</f>
        <v>0.21211360901784035</v>
      </c>
      <c r="L44" s="20"/>
      <c r="M44" s="20"/>
      <c r="N44" s="27">
        <f t="shared" si="27"/>
        <v>0.22936122741298437</v>
      </c>
      <c r="O44" s="27">
        <f t="shared" si="28"/>
        <v>2.4391815853048351E-2</v>
      </c>
      <c r="P44" s="11">
        <f t="shared" si="29"/>
        <v>2</v>
      </c>
      <c r="S44" s="8"/>
      <c r="T44" s="20">
        <f>T43*DL_OH!$W$57</f>
        <v>0.21003050025764045</v>
      </c>
      <c r="U44" s="20"/>
      <c r="V44" s="20"/>
      <c r="W44" s="20">
        <f>W43*DL_OH!$W$61</f>
        <v>0.36547726744497877</v>
      </c>
      <c r="X44" s="20"/>
      <c r="Y44" s="27">
        <f t="shared" si="30"/>
        <v>0.28775388385130962</v>
      </c>
      <c r="Z44" s="11">
        <f t="shared" si="31"/>
        <v>0.10991746319169327</v>
      </c>
      <c r="AA44" s="11">
        <f t="shared" si="32"/>
        <v>2</v>
      </c>
    </row>
    <row r="45" spans="1:27" ht="25.5">
      <c r="A45" s="8"/>
      <c r="G45" s="4">
        <v>100</v>
      </c>
      <c r="H45" s="11" t="s">
        <v>418</v>
      </c>
      <c r="I45" s="11">
        <v>0.12</v>
      </c>
      <c r="J45" s="20">
        <f>J43*DL_OH!$AA$57</f>
        <v>0.26959347506703163</v>
      </c>
      <c r="K45" s="20">
        <f>K43*DL_OH!$AA$67</f>
        <v>0.23127877406116434</v>
      </c>
      <c r="L45" s="20"/>
      <c r="M45" s="20"/>
      <c r="N45" s="27">
        <f t="shared" si="27"/>
        <v>0.25043612456409797</v>
      </c>
      <c r="O45" s="27">
        <f t="shared" si="28"/>
        <v>2.7092584900383791E-2</v>
      </c>
      <c r="P45" s="11">
        <f t="shared" si="29"/>
        <v>2</v>
      </c>
      <c r="S45" s="8"/>
      <c r="T45" s="20">
        <f>T43*DL_OH!$AA$57</f>
        <v>0.22960592613364414</v>
      </c>
      <c r="U45" s="20"/>
      <c r="V45" s="20"/>
      <c r="W45" s="20">
        <f>W43*DL_OH!$AA$61</f>
        <v>0.40058942218267213</v>
      </c>
      <c r="X45" s="20"/>
      <c r="Y45" s="27">
        <f t="shared" si="30"/>
        <v>0.31509767415815815</v>
      </c>
      <c r="Z45" s="11">
        <f t="shared" si="31"/>
        <v>0.12090358952725092</v>
      </c>
      <c r="AA45" s="11">
        <f t="shared" si="32"/>
        <v>2</v>
      </c>
    </row>
    <row r="46" spans="1:27">
      <c r="A46" s="8"/>
      <c r="N46" s="5"/>
      <c r="S46" s="8"/>
      <c r="Y46" s="5"/>
    </row>
    <row r="47" spans="1:27" ht="31.5" customHeight="1">
      <c r="A47" s="8"/>
      <c r="B47" s="3" t="s">
        <v>413</v>
      </c>
      <c r="C47" s="3" t="s">
        <v>476</v>
      </c>
      <c r="D47" s="3" t="s">
        <v>481</v>
      </c>
      <c r="E47" s="3" t="s">
        <v>416</v>
      </c>
      <c r="F47" s="3" t="s">
        <v>69</v>
      </c>
      <c r="G47" s="4">
        <v>20</v>
      </c>
      <c r="H47" s="3" t="s">
        <v>417</v>
      </c>
      <c r="I47" s="17">
        <v>3.3</v>
      </c>
      <c r="J47" s="2">
        <f>DL_OH!S41*7.857</f>
        <v>8.0052452830188674</v>
      </c>
      <c r="N47" s="5">
        <f>AVERAGE(J47:M47)</f>
        <v>8.0052452830188674</v>
      </c>
      <c r="O47" s="5" t="e">
        <f>SQRT(VAR(J47:M47))</f>
        <v>#DIV/0!</v>
      </c>
      <c r="P47" s="3">
        <f>COUNT(J47:M47)</f>
        <v>1</v>
      </c>
      <c r="S47" s="8"/>
      <c r="T47" s="2">
        <f>DL_OH!S41*7.869</f>
        <v>8.0174716981132068</v>
      </c>
      <c r="Y47" s="5">
        <f>AVERAGE(T47:X47)</f>
        <v>8.0174716981132068</v>
      </c>
      <c r="Z47" s="3" t="e">
        <f>SQRT(VAR(T47:X47))</f>
        <v>#DIV/0!</v>
      </c>
      <c r="AA47" s="3">
        <f>COUNT(T47:X47)</f>
        <v>1</v>
      </c>
    </row>
    <row r="48" spans="1:27" ht="31.5" customHeight="1">
      <c r="A48" s="8"/>
      <c r="G48" s="4">
        <v>40</v>
      </c>
      <c r="H48" s="3" t="s">
        <v>417</v>
      </c>
      <c r="I48" s="17">
        <v>3.3</v>
      </c>
      <c r="J48" s="2">
        <f>J47*DL_OH!$W$41</f>
        <v>9.023626626993039</v>
      </c>
      <c r="N48" s="5">
        <f>AVERAGE(J48:M48)</f>
        <v>9.023626626993039</v>
      </c>
      <c r="O48" s="5" t="e">
        <f>SQRT(VAR(J48:M48))</f>
        <v>#DIV/0!</v>
      </c>
      <c r="P48" s="3">
        <f>COUNT(J48:M48)</f>
        <v>1</v>
      </c>
      <c r="S48" s="8"/>
      <c r="T48" s="2">
        <f>T47*DL_OH!$W$41</f>
        <v>9.0374084164195274</v>
      </c>
      <c r="Y48" s="5">
        <f>AVERAGE(T48:X48)</f>
        <v>9.0374084164195274</v>
      </c>
      <c r="Z48" s="3" t="e">
        <f>SQRT(VAR(T48:X48))</f>
        <v>#DIV/0!</v>
      </c>
      <c r="AA48" s="3">
        <f>COUNT(T48:X48)</f>
        <v>1</v>
      </c>
    </row>
    <row r="49" spans="1:27" ht="25.5">
      <c r="A49" s="8"/>
      <c r="G49" s="4">
        <v>20</v>
      </c>
      <c r="H49" s="11" t="s">
        <v>418</v>
      </c>
      <c r="I49" s="11">
        <v>0.12</v>
      </c>
      <c r="J49" s="20">
        <f>DL_OH!S41*0.192</f>
        <v>0.19562264150943395</v>
      </c>
      <c r="K49" s="20"/>
      <c r="L49" s="20"/>
      <c r="M49" s="20"/>
      <c r="N49" s="27">
        <f>AVERAGE(J49:M49)</f>
        <v>0.19562264150943395</v>
      </c>
      <c r="O49" s="27" t="e">
        <f>SQRT(VAR(J49:M49))</f>
        <v>#DIV/0!</v>
      </c>
      <c r="P49" s="11">
        <f>COUNT(J49:M49)</f>
        <v>1</v>
      </c>
      <c r="S49" s="8"/>
      <c r="T49" s="20">
        <f>DL_OH!S41*0.192</f>
        <v>0.19562264150943395</v>
      </c>
      <c r="U49" s="20"/>
      <c r="V49" s="20"/>
      <c r="W49" s="20"/>
      <c r="X49" s="20"/>
      <c r="Y49" s="27">
        <f>AVERAGE(T49:X49)</f>
        <v>0.19562264150943395</v>
      </c>
      <c r="Z49" s="11" t="e">
        <f>SQRT(VAR(T49:X49))</f>
        <v>#DIV/0!</v>
      </c>
      <c r="AA49" s="11">
        <f>COUNT(T49:X49)</f>
        <v>1</v>
      </c>
    </row>
    <row r="50" spans="1:27" ht="25.5">
      <c r="A50" s="8"/>
      <c r="G50" s="4">
        <v>40</v>
      </c>
      <c r="H50" s="11" t="s">
        <v>418</v>
      </c>
      <c r="I50" s="11">
        <v>0.12</v>
      </c>
      <c r="J50" s="20">
        <f>J49*DL_OH!$W$41</f>
        <v>0.22050863082380853</v>
      </c>
      <c r="K50" s="20"/>
      <c r="L50" s="20"/>
      <c r="M50" s="20"/>
      <c r="N50" s="27">
        <f>AVERAGE(J50:M50)</f>
        <v>0.22050863082380853</v>
      </c>
      <c r="O50" s="27" t="e">
        <f>SQRT(VAR(J50:M50))</f>
        <v>#DIV/0!</v>
      </c>
      <c r="P50" s="11">
        <f>COUNT(J50:M50)</f>
        <v>1</v>
      </c>
      <c r="S50" s="8"/>
      <c r="T50" s="20">
        <f>T49*DL_OH!$W$41</f>
        <v>0.22050863082380853</v>
      </c>
      <c r="U50" s="20"/>
      <c r="V50" s="20"/>
      <c r="W50" s="20"/>
      <c r="X50" s="20"/>
      <c r="Y50" s="27">
        <f>AVERAGE(T50:X50)</f>
        <v>0.22050863082380853</v>
      </c>
      <c r="Z50" s="11" t="e">
        <f>SQRT(VAR(T50:X50))</f>
        <v>#DIV/0!</v>
      </c>
      <c r="AA50" s="11">
        <f>COUNT(T50:X50)</f>
        <v>1</v>
      </c>
    </row>
    <row r="51" spans="1:27">
      <c r="A51" s="8"/>
      <c r="N51" s="5"/>
      <c r="S51" s="8"/>
      <c r="Y51" s="5"/>
    </row>
    <row r="52" spans="1:27" ht="31.5" customHeight="1">
      <c r="A52" s="8"/>
      <c r="B52" s="3" t="s">
        <v>413</v>
      </c>
      <c r="C52" s="3" t="s">
        <v>477</v>
      </c>
      <c r="D52" s="3" t="s">
        <v>459</v>
      </c>
      <c r="E52" s="3" t="s">
        <v>429</v>
      </c>
      <c r="F52" s="3" t="s">
        <v>69</v>
      </c>
      <c r="G52" s="4">
        <v>20</v>
      </c>
      <c r="H52" s="3" t="s">
        <v>417</v>
      </c>
      <c r="I52" s="17">
        <v>3.3</v>
      </c>
      <c r="J52" s="2">
        <f>DL_OH!S58*8.447</f>
        <v>8.6063773584905654</v>
      </c>
      <c r="N52" s="5">
        <f t="shared" ref="N52:N57" si="33">AVERAGE(J52:M52)</f>
        <v>8.6063773584905654</v>
      </c>
      <c r="O52" s="5" t="e">
        <f t="shared" ref="O52:O57" si="34">SQRT(VAR(J52:M52))</f>
        <v>#DIV/0!</v>
      </c>
      <c r="P52" s="3">
        <f t="shared" ref="P52:P57" si="35">COUNT(J52:M52)</f>
        <v>1</v>
      </c>
      <c r="S52" s="8"/>
      <c r="T52" s="2">
        <f>DL_OH!S58*8.429</f>
        <v>8.5880377358490563</v>
      </c>
      <c r="Y52" s="5">
        <f t="shared" ref="Y52:Y57" si="36">AVERAGE(T52:X52)</f>
        <v>8.5880377358490563</v>
      </c>
      <c r="Z52" s="3" t="e">
        <f t="shared" ref="Z52:Z57" si="37">SQRT(VAR(T52:X52))</f>
        <v>#DIV/0!</v>
      </c>
      <c r="AA52" s="3">
        <f t="shared" ref="AA52:AA57" si="38">COUNT(T52:X52)</f>
        <v>1</v>
      </c>
    </row>
    <row r="53" spans="1:27" ht="31.5" customHeight="1">
      <c r="A53" s="8"/>
      <c r="G53" s="4">
        <v>40</v>
      </c>
      <c r="H53" s="3" t="s">
        <v>417</v>
      </c>
      <c r="I53" s="17">
        <v>3.3</v>
      </c>
      <c r="J53" s="2">
        <f>J52*DL_OH!$W$58</f>
        <v>9.9750350739485807</v>
      </c>
      <c r="N53" s="5">
        <f t="shared" si="33"/>
        <v>9.9750350739485807</v>
      </c>
      <c r="O53" s="5" t="e">
        <f t="shared" si="34"/>
        <v>#DIV/0!</v>
      </c>
      <c r="P53" s="3">
        <f t="shared" si="35"/>
        <v>1</v>
      </c>
      <c r="S53" s="8"/>
      <c r="T53" s="2">
        <f>T52*DL_OH!$W$58</f>
        <v>9.9537789319655001</v>
      </c>
      <c r="Y53" s="5">
        <f t="shared" si="36"/>
        <v>9.9537789319655001</v>
      </c>
      <c r="Z53" s="3" t="e">
        <f t="shared" si="37"/>
        <v>#DIV/0!</v>
      </c>
      <c r="AA53" s="3">
        <f t="shared" si="38"/>
        <v>1</v>
      </c>
    </row>
    <row r="54" spans="1:27" ht="31.5" customHeight="1">
      <c r="A54" s="8"/>
      <c r="G54" s="4">
        <v>100</v>
      </c>
      <c r="H54" s="3" t="s">
        <v>417</v>
      </c>
      <c r="I54" s="17">
        <v>3.3</v>
      </c>
      <c r="J54" s="2">
        <f>J52*DL_OH!$AA$58</f>
        <v>10.909157111878629</v>
      </c>
      <c r="N54" s="5">
        <f t="shared" si="33"/>
        <v>10.909157111878629</v>
      </c>
      <c r="O54" s="5" t="e">
        <f t="shared" si="34"/>
        <v>#DIV/0!</v>
      </c>
      <c r="P54" s="3">
        <f t="shared" si="35"/>
        <v>1</v>
      </c>
      <c r="S54" s="8"/>
      <c r="T54" s="2">
        <f>T52*DL_OH!$AA$58</f>
        <v>10.885910417429262</v>
      </c>
      <c r="Y54" s="5">
        <f t="shared" si="36"/>
        <v>10.885910417429262</v>
      </c>
      <c r="Z54" s="3" t="e">
        <f t="shared" si="37"/>
        <v>#DIV/0!</v>
      </c>
      <c r="AA54" s="3">
        <f t="shared" si="38"/>
        <v>1</v>
      </c>
    </row>
    <row r="55" spans="1:27" ht="25.5">
      <c r="A55" s="8"/>
      <c r="G55" s="4">
        <v>20</v>
      </c>
      <c r="H55" s="11" t="s">
        <v>418</v>
      </c>
      <c r="I55" s="11">
        <v>0.12</v>
      </c>
      <c r="J55" s="20">
        <f>DL_OH!S58*0.195</f>
        <v>0.19867924528301886</v>
      </c>
      <c r="K55" s="20"/>
      <c r="L55" s="20"/>
      <c r="M55" s="20"/>
      <c r="N55" s="27">
        <f t="shared" si="33"/>
        <v>0.19867924528301886</v>
      </c>
      <c r="O55" s="27" t="e">
        <f t="shared" si="34"/>
        <v>#DIV/0!</v>
      </c>
      <c r="P55" s="11">
        <f t="shared" si="35"/>
        <v>1</v>
      </c>
      <c r="S55" s="8"/>
      <c r="T55" s="20">
        <f>DL_OH!S58*0.19</f>
        <v>0.19358490566037737</v>
      </c>
      <c r="U55" s="20"/>
      <c r="V55" s="20"/>
      <c r="W55" s="20"/>
      <c r="X55" s="20"/>
      <c r="Y55" s="27">
        <f t="shared" si="36"/>
        <v>0.19358490566037737</v>
      </c>
      <c r="Z55" s="11" t="e">
        <f t="shared" si="37"/>
        <v>#DIV/0!</v>
      </c>
      <c r="AA55" s="11">
        <f t="shared" si="38"/>
        <v>1</v>
      </c>
    </row>
    <row r="56" spans="1:27" ht="25.5">
      <c r="A56" s="8"/>
      <c r="G56" s="4">
        <v>40</v>
      </c>
      <c r="H56" s="11" t="s">
        <v>418</v>
      </c>
      <c r="I56" s="11">
        <v>0.12</v>
      </c>
      <c r="J56" s="20">
        <f>J55*DL_OH!$W$58</f>
        <v>0.2302748714833637</v>
      </c>
      <c r="K56" s="20"/>
      <c r="L56" s="20"/>
      <c r="M56" s="20"/>
      <c r="N56" s="27">
        <f t="shared" si="33"/>
        <v>0.2302748714833637</v>
      </c>
      <c r="O56" s="27" t="e">
        <f t="shared" si="34"/>
        <v>#DIV/0!</v>
      </c>
      <c r="P56" s="11">
        <f t="shared" si="35"/>
        <v>1</v>
      </c>
      <c r="S56" s="8"/>
      <c r="T56" s="20">
        <f>T55*DL_OH!$W$58</f>
        <v>0.22437038759917491</v>
      </c>
      <c r="U56" s="20"/>
      <c r="V56" s="20"/>
      <c r="W56" s="20"/>
      <c r="X56" s="20"/>
      <c r="Y56" s="27">
        <f t="shared" si="36"/>
        <v>0.22437038759917491</v>
      </c>
      <c r="Z56" s="11" t="e">
        <f t="shared" si="37"/>
        <v>#DIV/0!</v>
      </c>
      <c r="AA56" s="11">
        <f t="shared" si="38"/>
        <v>1</v>
      </c>
    </row>
    <row r="57" spans="1:27" ht="25.5">
      <c r="A57" s="8"/>
      <c r="G57" s="4">
        <v>100</v>
      </c>
      <c r="H57" s="11" t="s">
        <v>418</v>
      </c>
      <c r="I57" s="11">
        <v>0.12</v>
      </c>
      <c r="J57" s="20">
        <f>J55*DL_OH!$AA$58</f>
        <v>0.25183918986815823</v>
      </c>
      <c r="K57" s="20"/>
      <c r="L57" s="20"/>
      <c r="M57" s="20"/>
      <c r="N57" s="27">
        <f t="shared" si="33"/>
        <v>0.25183918986815823</v>
      </c>
      <c r="O57" s="27" t="e">
        <f t="shared" si="34"/>
        <v>#DIV/0!</v>
      </c>
      <c r="P57" s="11">
        <f t="shared" si="35"/>
        <v>1</v>
      </c>
      <c r="S57" s="8"/>
      <c r="T57" s="20">
        <f>T55*DL_OH!$AA$58</f>
        <v>0.2453817747433337</v>
      </c>
      <c r="U57" s="20"/>
      <c r="V57" s="20"/>
      <c r="W57" s="20"/>
      <c r="X57" s="20"/>
      <c r="Y57" s="27">
        <f t="shared" si="36"/>
        <v>0.2453817747433337</v>
      </c>
      <c r="Z57" s="11" t="e">
        <f t="shared" si="37"/>
        <v>#DIV/0!</v>
      </c>
      <c r="AA57" s="11">
        <f t="shared" si="38"/>
        <v>1</v>
      </c>
    </row>
    <row r="58" spans="1:27">
      <c r="A58" s="8"/>
      <c r="N58" s="5"/>
      <c r="S58" s="8"/>
      <c r="Y58" s="5"/>
    </row>
    <row r="59" spans="1:27" ht="31.5" customHeight="1">
      <c r="A59" s="8"/>
      <c r="B59" s="3" t="s">
        <v>413</v>
      </c>
      <c r="C59" s="3" t="s">
        <v>477</v>
      </c>
      <c r="D59" s="3" t="s">
        <v>459</v>
      </c>
      <c r="E59" s="3" t="s">
        <v>416</v>
      </c>
      <c r="F59" s="3" t="s">
        <v>69</v>
      </c>
      <c r="G59" s="4">
        <v>20</v>
      </c>
      <c r="H59" s="3" t="s">
        <v>417</v>
      </c>
      <c r="I59" s="17">
        <v>3.3</v>
      </c>
      <c r="J59" s="2">
        <f>DL_OH!S42*8.669</f>
        <v>8.8325660377358517</v>
      </c>
      <c r="N59" s="5">
        <f>AVERAGE(J59:M59)</f>
        <v>8.8325660377358517</v>
      </c>
      <c r="O59" s="5" t="e">
        <f>SQRT(VAR(J59:M59))</f>
        <v>#DIV/0!</v>
      </c>
      <c r="P59" s="3">
        <f>COUNT(J59:M59)</f>
        <v>1</v>
      </c>
      <c r="S59" s="8"/>
      <c r="T59" s="2">
        <f>DL_OH!S42*8.653</f>
        <v>8.8162641509433985</v>
      </c>
      <c r="Y59" s="5">
        <f>AVERAGE(T59:X59)</f>
        <v>8.8162641509433985</v>
      </c>
      <c r="Z59" s="3" t="e">
        <f>SQRT(VAR(T59:X59))</f>
        <v>#DIV/0!</v>
      </c>
      <c r="AA59" s="3">
        <f>COUNT(T59:X59)</f>
        <v>1</v>
      </c>
    </row>
    <row r="60" spans="1:27" ht="31.5" customHeight="1">
      <c r="A60" s="8"/>
      <c r="G60" s="4">
        <v>40</v>
      </c>
      <c r="H60" s="3" t="s">
        <v>417</v>
      </c>
      <c r="I60" s="17">
        <v>3.3</v>
      </c>
      <c r="J60" s="2">
        <f>J59*DL_OH!$W$42</f>
        <v>9.9815104761952771</v>
      </c>
      <c r="N60" s="5">
        <f>AVERAGE(J60:M60)</f>
        <v>9.9815104761952771</v>
      </c>
      <c r="O60" s="5" t="e">
        <f>SQRT(VAR(J60:M60))</f>
        <v>#DIV/0!</v>
      </c>
      <c r="P60" s="3">
        <f>COUNT(J60:M60)</f>
        <v>1</v>
      </c>
      <c r="S60" s="8"/>
      <c r="T60" s="2">
        <f>T59*DL_OH!$W$42</f>
        <v>9.9630880321280113</v>
      </c>
      <c r="Y60" s="5">
        <f>AVERAGE(T60:X60)</f>
        <v>9.9630880321280113</v>
      </c>
      <c r="Z60" s="3" t="e">
        <f>SQRT(VAR(T60:X60))</f>
        <v>#DIV/0!</v>
      </c>
      <c r="AA60" s="3">
        <f>COUNT(T60:X60)</f>
        <v>1</v>
      </c>
    </row>
    <row r="61" spans="1:27" ht="25.5">
      <c r="A61" s="8"/>
      <c r="G61" s="4">
        <v>20</v>
      </c>
      <c r="H61" s="11" t="s">
        <v>418</v>
      </c>
      <c r="I61" s="11">
        <v>0.12</v>
      </c>
      <c r="J61" s="20">
        <f>DL_OH!S42*0.215</f>
        <v>0.21905660377358496</v>
      </c>
      <c r="K61" s="20"/>
      <c r="L61" s="20"/>
      <c r="M61" s="20"/>
      <c r="N61" s="27">
        <f>AVERAGE(J61:M61)</f>
        <v>0.21905660377358496</v>
      </c>
      <c r="O61" s="27" t="e">
        <f>SQRT(VAR(J61:M61))</f>
        <v>#DIV/0!</v>
      </c>
      <c r="P61" s="11">
        <f>COUNT(J61:M61)</f>
        <v>1</v>
      </c>
      <c r="S61" s="8"/>
      <c r="T61" s="20">
        <f>DL_OH!S42*0.211</f>
        <v>0.21498113207547173</v>
      </c>
      <c r="U61" s="20"/>
      <c r="V61" s="20"/>
      <c r="W61" s="20"/>
      <c r="X61" s="20"/>
      <c r="Y61" s="27">
        <f>AVERAGE(T61:X61)</f>
        <v>0.21498113207547173</v>
      </c>
      <c r="Z61" s="11" t="e">
        <f>SQRT(VAR(T61:X61))</f>
        <v>#DIV/0!</v>
      </c>
      <c r="AA61" s="11">
        <f>COUNT(T61:X61)</f>
        <v>1</v>
      </c>
    </row>
    <row r="62" spans="1:27" ht="25.5">
      <c r="A62" s="8"/>
      <c r="G62" s="4">
        <v>40</v>
      </c>
      <c r="H62" s="11" t="s">
        <v>418</v>
      </c>
      <c r="I62" s="11">
        <v>0.12</v>
      </c>
      <c r="J62" s="20">
        <f>J61*DL_OH!$W$42</f>
        <v>0.24755159215387987</v>
      </c>
      <c r="K62" s="20"/>
      <c r="L62" s="20"/>
      <c r="M62" s="20"/>
      <c r="N62" s="27">
        <f>AVERAGE(J62:M62)</f>
        <v>0.24755159215387987</v>
      </c>
      <c r="O62" s="27" t="e">
        <f>SQRT(VAR(J62:M62))</f>
        <v>#DIV/0!</v>
      </c>
      <c r="P62" s="11">
        <f>COUNT(J62:M62)</f>
        <v>1</v>
      </c>
      <c r="S62" s="8"/>
      <c r="T62" s="20">
        <f>T61*DL_OH!$W$42</f>
        <v>0.24294598113706348</v>
      </c>
      <c r="U62" s="20"/>
      <c r="V62" s="20"/>
      <c r="W62" s="20"/>
      <c r="X62" s="20"/>
      <c r="Y62" s="27">
        <f>AVERAGE(T62:X62)</f>
        <v>0.24294598113706348</v>
      </c>
      <c r="Z62" s="11" t="e">
        <f>SQRT(VAR(T62:X62))</f>
        <v>#DIV/0!</v>
      </c>
      <c r="AA62" s="11">
        <f>COUNT(T62:X62)</f>
        <v>1</v>
      </c>
    </row>
    <row r="63" spans="1:27">
      <c r="A63" s="8"/>
      <c r="N63" s="5"/>
      <c r="S63" s="8"/>
    </row>
    <row r="64" spans="1:27" ht="25.5">
      <c r="A64" s="8"/>
      <c r="B64" s="3" t="s">
        <v>413</v>
      </c>
      <c r="C64" s="3" t="s">
        <v>478</v>
      </c>
      <c r="D64" s="3" t="s">
        <v>482</v>
      </c>
      <c r="E64" s="3" t="s">
        <v>416</v>
      </c>
      <c r="F64" s="3" t="s">
        <v>70</v>
      </c>
      <c r="G64" s="4">
        <v>20</v>
      </c>
      <c r="H64" s="3" t="s">
        <v>417</v>
      </c>
      <c r="I64" s="17">
        <v>3.3</v>
      </c>
      <c r="N64" s="5" t="e">
        <f>AVERAGE(J64:M64)</f>
        <v>#DIV/0!</v>
      </c>
      <c r="O64" s="5" t="e">
        <f>SQRT(VAR(J64:M64))</f>
        <v>#DIV/0!</v>
      </c>
      <c r="P64" s="3">
        <f>COUNT(J64:M64)</f>
        <v>0</v>
      </c>
      <c r="S64" s="8"/>
      <c r="Y64" s="5" t="e">
        <f>AVERAGE(T64:X64)</f>
        <v>#DIV/0!</v>
      </c>
      <c r="Z64" s="3" t="e">
        <f>SQRT(VAR(T64:X64))</f>
        <v>#DIV/0!</v>
      </c>
      <c r="AA64" s="3">
        <f>COUNT(T64:X64)</f>
        <v>0</v>
      </c>
    </row>
    <row r="65" spans="1:27" ht="25.5">
      <c r="A65" s="8"/>
      <c r="G65" s="4">
        <v>40</v>
      </c>
      <c r="H65" s="3" t="s">
        <v>417</v>
      </c>
      <c r="I65" s="17">
        <v>3.3</v>
      </c>
      <c r="N65" s="5" t="e">
        <f>AVERAGE(J65:M65)</f>
        <v>#DIV/0!</v>
      </c>
      <c r="O65" s="5" t="e">
        <f>SQRT(VAR(J65:M65))</f>
        <v>#DIV/0!</v>
      </c>
      <c r="P65" s="3">
        <f>COUNT(J65:M65)</f>
        <v>0</v>
      </c>
      <c r="S65" s="8"/>
      <c r="Y65" s="5" t="e">
        <f>AVERAGE(T65:X65)</f>
        <v>#DIV/0!</v>
      </c>
      <c r="Z65" s="3" t="e">
        <f>SQRT(VAR(T65:X65))</f>
        <v>#DIV/0!</v>
      </c>
      <c r="AA65" s="3">
        <f>COUNT(T65:X65)</f>
        <v>0</v>
      </c>
    </row>
    <row r="66" spans="1:27" ht="25.5">
      <c r="A66" s="8"/>
      <c r="G66" s="4">
        <v>20</v>
      </c>
      <c r="H66" s="11" t="s">
        <v>418</v>
      </c>
      <c r="I66" s="11">
        <v>0.12</v>
      </c>
      <c r="J66" s="20"/>
      <c r="K66" s="20"/>
      <c r="L66" s="20"/>
      <c r="M66" s="20"/>
      <c r="N66" s="27" t="e">
        <f>AVERAGE(J66:M66)</f>
        <v>#DIV/0!</v>
      </c>
      <c r="O66" s="27" t="e">
        <f>SQRT(VAR(J66:M66))</f>
        <v>#DIV/0!</v>
      </c>
      <c r="P66" s="11">
        <f>COUNT(J66:M66)</f>
        <v>0</v>
      </c>
      <c r="S66" s="8"/>
      <c r="T66" s="20"/>
      <c r="U66" s="20"/>
      <c r="V66" s="20"/>
      <c r="W66" s="20"/>
      <c r="X66" s="20"/>
      <c r="Y66" s="27" t="e">
        <f>AVERAGE(T66:X66)</f>
        <v>#DIV/0!</v>
      </c>
      <c r="Z66" s="11" t="e">
        <f>SQRT(VAR(T66:X66))</f>
        <v>#DIV/0!</v>
      </c>
      <c r="AA66" s="11">
        <f>COUNT(T66:X66)</f>
        <v>0</v>
      </c>
    </row>
    <row r="67" spans="1:27" ht="25.5">
      <c r="A67" s="8"/>
      <c r="G67" s="4">
        <v>40</v>
      </c>
      <c r="H67" s="11" t="s">
        <v>418</v>
      </c>
      <c r="I67" s="11">
        <v>0.12</v>
      </c>
      <c r="J67" s="20"/>
      <c r="K67" s="20"/>
      <c r="L67" s="20"/>
      <c r="M67" s="20"/>
      <c r="N67" s="27" t="e">
        <f>AVERAGE(J67:M67)</f>
        <v>#DIV/0!</v>
      </c>
      <c r="O67" s="27" t="e">
        <f>SQRT(VAR(J67:M67))</f>
        <v>#DIV/0!</v>
      </c>
      <c r="P67" s="11">
        <f>COUNT(J67:M67)</f>
        <v>0</v>
      </c>
      <c r="S67" s="8"/>
      <c r="T67" s="20"/>
      <c r="U67" s="20"/>
      <c r="V67" s="20"/>
      <c r="W67" s="20"/>
      <c r="X67" s="20"/>
      <c r="Y67" s="27" t="e">
        <f>AVERAGE(T67:X67)</f>
        <v>#DIV/0!</v>
      </c>
      <c r="Z67" s="11" t="e">
        <f>SQRT(VAR(T67:X67))</f>
        <v>#DIV/0!</v>
      </c>
      <c r="AA67" s="11">
        <f>COUNT(T67:X67)</f>
        <v>0</v>
      </c>
    </row>
    <row r="68" spans="1:27">
      <c r="A68" s="8"/>
      <c r="N68" s="5"/>
      <c r="S68" s="8"/>
      <c r="Y68" s="5"/>
    </row>
    <row r="69" spans="1:27" ht="38.25">
      <c r="A69" s="8"/>
      <c r="B69" s="3" t="s">
        <v>413</v>
      </c>
      <c r="C69" s="3" t="s">
        <v>454</v>
      </c>
      <c r="D69" s="29" t="s">
        <v>483</v>
      </c>
      <c r="E69" s="3" t="s">
        <v>416</v>
      </c>
      <c r="F69" s="189" t="s">
        <v>499</v>
      </c>
      <c r="G69" s="4">
        <v>20</v>
      </c>
      <c r="H69" s="3" t="s">
        <v>417</v>
      </c>
      <c r="I69" s="17">
        <v>3.3</v>
      </c>
      <c r="N69" s="5" t="e">
        <f t="shared" ref="N69:N76" si="39">AVERAGE(J69:M69)</f>
        <v>#DIV/0!</v>
      </c>
      <c r="O69" s="5" t="e">
        <f t="shared" ref="O69:O76" si="40">SQRT(VAR(J69:M69))</f>
        <v>#DIV/0!</v>
      </c>
      <c r="P69" s="3">
        <f t="shared" ref="P69:P76" si="41">COUNT(J69:M69)</f>
        <v>0</v>
      </c>
      <c r="S69" s="8"/>
      <c r="Y69" s="5" t="e">
        <f t="shared" ref="Y69:Y76" si="42">AVERAGE(T69:X69)</f>
        <v>#DIV/0!</v>
      </c>
      <c r="Z69" s="3" t="e">
        <f t="shared" ref="Z69:Z76" si="43">SQRT(VAR(T69:X69))</f>
        <v>#DIV/0!</v>
      </c>
      <c r="AA69" s="3">
        <f t="shared" ref="AA69:AA76" si="44">COUNT(T69:X69)</f>
        <v>0</v>
      </c>
    </row>
    <row r="70" spans="1:27" ht="25.5">
      <c r="A70" s="8"/>
      <c r="D70" s="29"/>
      <c r="G70" s="4">
        <v>40</v>
      </c>
      <c r="H70" s="3" t="s">
        <v>417</v>
      </c>
      <c r="I70" s="17">
        <v>3.3</v>
      </c>
      <c r="N70" s="5" t="e">
        <f t="shared" si="39"/>
        <v>#DIV/0!</v>
      </c>
      <c r="O70" s="5" t="e">
        <f t="shared" si="40"/>
        <v>#DIV/0!</v>
      </c>
      <c r="P70" s="3">
        <f t="shared" si="41"/>
        <v>0</v>
      </c>
      <c r="S70" s="8"/>
      <c r="Y70" s="5" t="e">
        <f t="shared" si="42"/>
        <v>#DIV/0!</v>
      </c>
      <c r="Z70" s="3" t="e">
        <f t="shared" si="43"/>
        <v>#DIV/0!</v>
      </c>
      <c r="AA70" s="3">
        <f t="shared" si="44"/>
        <v>0</v>
      </c>
    </row>
    <row r="71" spans="1:27" ht="25.5">
      <c r="A71" s="8"/>
      <c r="G71" s="4">
        <v>20</v>
      </c>
      <c r="H71" s="11" t="s">
        <v>418</v>
      </c>
      <c r="I71" s="11">
        <v>0.12</v>
      </c>
      <c r="J71" s="20"/>
      <c r="K71" s="20"/>
      <c r="L71" s="20"/>
      <c r="M71" s="20"/>
      <c r="N71" s="27" t="e">
        <f t="shared" si="39"/>
        <v>#DIV/0!</v>
      </c>
      <c r="O71" s="27" t="e">
        <f t="shared" si="40"/>
        <v>#DIV/0!</v>
      </c>
      <c r="P71" s="11">
        <f t="shared" si="41"/>
        <v>0</v>
      </c>
      <c r="S71" s="8"/>
      <c r="T71" s="20"/>
      <c r="U71" s="20"/>
      <c r="V71" s="20"/>
      <c r="W71" s="20"/>
      <c r="X71" s="20"/>
      <c r="Y71" s="27" t="e">
        <f t="shared" si="42"/>
        <v>#DIV/0!</v>
      </c>
      <c r="Z71" s="11" t="e">
        <f t="shared" si="43"/>
        <v>#DIV/0!</v>
      </c>
      <c r="AA71" s="11">
        <f t="shared" si="44"/>
        <v>0</v>
      </c>
    </row>
    <row r="72" spans="1:27" ht="25.5">
      <c r="A72" s="8"/>
      <c r="G72" s="4">
        <v>40</v>
      </c>
      <c r="H72" s="11" t="s">
        <v>418</v>
      </c>
      <c r="I72" s="11">
        <v>0.12</v>
      </c>
      <c r="J72" s="20"/>
      <c r="K72" s="20"/>
      <c r="L72" s="20"/>
      <c r="M72" s="20"/>
      <c r="N72" s="27" t="e">
        <f t="shared" si="39"/>
        <v>#DIV/0!</v>
      </c>
      <c r="O72" s="27" t="e">
        <f t="shared" si="40"/>
        <v>#DIV/0!</v>
      </c>
      <c r="P72" s="11">
        <f t="shared" si="41"/>
        <v>0</v>
      </c>
      <c r="S72" s="8"/>
      <c r="T72" s="20"/>
      <c r="U72" s="20"/>
      <c r="V72" s="20"/>
      <c r="W72" s="20"/>
      <c r="X72" s="20"/>
      <c r="Y72" s="27" t="e">
        <f t="shared" si="42"/>
        <v>#DIV/0!</v>
      </c>
      <c r="Z72" s="11" t="e">
        <f t="shared" si="43"/>
        <v>#DIV/0!</v>
      </c>
      <c r="AA72" s="11">
        <f t="shared" si="44"/>
        <v>0</v>
      </c>
    </row>
    <row r="73" spans="1:27" ht="31.5" customHeight="1">
      <c r="A73" s="8"/>
      <c r="B73" s="3" t="s">
        <v>413</v>
      </c>
      <c r="C73" s="3" t="s">
        <v>476</v>
      </c>
      <c r="D73" s="3" t="s">
        <v>481</v>
      </c>
      <c r="E73" s="3" t="s">
        <v>416</v>
      </c>
      <c r="F73" s="3" t="s">
        <v>70</v>
      </c>
      <c r="G73" s="4">
        <v>20</v>
      </c>
      <c r="H73" s="3" t="s">
        <v>417</v>
      </c>
      <c r="I73" s="17">
        <v>3.3</v>
      </c>
      <c r="L73" s="2">
        <f>DL_OH!S36*8.75</f>
        <v>8.6419753086419746</v>
      </c>
      <c r="N73" s="5">
        <f t="shared" si="39"/>
        <v>8.6419753086419746</v>
      </c>
      <c r="O73" s="5" t="e">
        <f t="shared" si="40"/>
        <v>#DIV/0!</v>
      </c>
      <c r="P73" s="3">
        <f t="shared" si="41"/>
        <v>1</v>
      </c>
      <c r="S73" s="8"/>
      <c r="V73" s="2">
        <f>DL_OH!S36*8.87</f>
        <v>8.7604938271604933</v>
      </c>
      <c r="Y73" s="5">
        <f t="shared" si="42"/>
        <v>8.7604938271604933</v>
      </c>
      <c r="Z73" s="3" t="e">
        <f t="shared" si="43"/>
        <v>#DIV/0!</v>
      </c>
      <c r="AA73" s="3">
        <f t="shared" si="44"/>
        <v>1</v>
      </c>
    </row>
    <row r="74" spans="1:27" ht="31.5" customHeight="1">
      <c r="A74" s="8"/>
      <c r="G74" s="4">
        <v>40</v>
      </c>
      <c r="H74" s="3" t="s">
        <v>417</v>
      </c>
      <c r="I74" s="17">
        <v>3.3</v>
      </c>
      <c r="L74" s="2">
        <f>L73*DL_OH!$W$36</f>
        <v>10.160078616962128</v>
      </c>
      <c r="N74" s="5">
        <f t="shared" si="39"/>
        <v>10.160078616962128</v>
      </c>
      <c r="O74" s="5" t="e">
        <f t="shared" si="40"/>
        <v>#DIV/0!</v>
      </c>
      <c r="P74" s="3">
        <f t="shared" si="41"/>
        <v>1</v>
      </c>
      <c r="S74" s="8"/>
      <c r="V74" s="2">
        <f>V73*DL_OH!$W$36</f>
        <v>10.299416837994752</v>
      </c>
      <c r="Y74" s="5">
        <f t="shared" si="42"/>
        <v>10.299416837994752</v>
      </c>
      <c r="Z74" s="3" t="e">
        <f t="shared" si="43"/>
        <v>#DIV/0!</v>
      </c>
      <c r="AA74" s="3">
        <f t="shared" si="44"/>
        <v>1</v>
      </c>
    </row>
    <row r="75" spans="1:27" ht="25.5">
      <c r="A75" s="8"/>
      <c r="G75" s="4">
        <v>20</v>
      </c>
      <c r="H75" s="11" t="s">
        <v>418</v>
      </c>
      <c r="I75" s="11">
        <v>0.12</v>
      </c>
      <c r="J75" s="20"/>
      <c r="K75" s="20"/>
      <c r="L75" s="20">
        <f>DL_OH!S36*0.28</f>
        <v>0.27654320987654324</v>
      </c>
      <c r="M75" s="20"/>
      <c r="N75" s="27">
        <f t="shared" si="39"/>
        <v>0.27654320987654324</v>
      </c>
      <c r="O75" s="27" t="e">
        <f t="shared" si="40"/>
        <v>#DIV/0!</v>
      </c>
      <c r="P75" s="11">
        <f t="shared" si="41"/>
        <v>1</v>
      </c>
      <c r="S75" s="8"/>
      <c r="T75" s="20"/>
      <c r="U75" s="20"/>
      <c r="V75" s="20">
        <f>DL_OH!S36*0.235</f>
        <v>0.23209876543209873</v>
      </c>
      <c r="W75" s="20"/>
      <c r="X75" s="20"/>
      <c r="Y75" s="27">
        <f t="shared" si="42"/>
        <v>0.23209876543209873</v>
      </c>
      <c r="Z75" s="11" t="e">
        <f t="shared" si="43"/>
        <v>#DIV/0!</v>
      </c>
      <c r="AA75" s="11">
        <f t="shared" si="44"/>
        <v>1</v>
      </c>
    </row>
    <row r="76" spans="1:27" ht="25.5">
      <c r="A76" s="8"/>
      <c r="G76" s="4">
        <v>40</v>
      </c>
      <c r="H76" s="11" t="s">
        <v>418</v>
      </c>
      <c r="I76" s="11">
        <v>0.12</v>
      </c>
      <c r="J76" s="20"/>
      <c r="K76" s="20"/>
      <c r="L76" s="20">
        <f>L75*DL_OH!$W$36</f>
        <v>0.32512251574278817</v>
      </c>
      <c r="M76" s="20"/>
      <c r="N76" s="27">
        <f t="shared" si="39"/>
        <v>0.32512251574278817</v>
      </c>
      <c r="O76" s="27" t="e">
        <f t="shared" si="40"/>
        <v>#DIV/0!</v>
      </c>
      <c r="P76" s="11">
        <f t="shared" si="41"/>
        <v>1</v>
      </c>
      <c r="S76" s="8"/>
      <c r="T76" s="20"/>
      <c r="U76" s="20"/>
      <c r="V76" s="20">
        <f>V75*DL_OH!$W$36</f>
        <v>0.27287068285555427</v>
      </c>
      <c r="W76" s="20"/>
      <c r="X76" s="20"/>
      <c r="Y76" s="27">
        <f t="shared" si="42"/>
        <v>0.27287068285555427</v>
      </c>
      <c r="Z76" s="11" t="e">
        <f t="shared" si="43"/>
        <v>#DIV/0!</v>
      </c>
      <c r="AA76" s="11">
        <f t="shared" si="44"/>
        <v>1</v>
      </c>
    </row>
    <row r="77" spans="1:27">
      <c r="A77" s="12"/>
      <c r="N77" s="5"/>
      <c r="S77" s="12"/>
      <c r="Y77" s="5"/>
    </row>
    <row r="78" spans="1:27" ht="31.5" customHeight="1">
      <c r="A78" s="8"/>
      <c r="B78" s="3" t="s">
        <v>413</v>
      </c>
      <c r="C78" s="29" t="s">
        <v>414</v>
      </c>
      <c r="D78" s="3" t="s">
        <v>492</v>
      </c>
      <c r="E78" s="29" t="s">
        <v>429</v>
      </c>
      <c r="F78" s="3" t="s">
        <v>70</v>
      </c>
      <c r="G78" s="4">
        <v>20</v>
      </c>
      <c r="H78" s="3" t="s">
        <v>417</v>
      </c>
      <c r="I78" s="17">
        <v>3.3</v>
      </c>
      <c r="M78" s="2">
        <f>DL_OH!S51*8.59</f>
        <v>8.3445714285714292</v>
      </c>
      <c r="N78" s="5">
        <f t="shared" ref="N78:N83" si="45">AVERAGE(J78:M78)</f>
        <v>8.3445714285714292</v>
      </c>
      <c r="O78" s="5" t="e">
        <f t="shared" ref="O78:O83" si="46">SQRT(VAR(J78:M78))</f>
        <v>#DIV/0!</v>
      </c>
      <c r="P78" s="3">
        <f t="shared" ref="P78:P83" si="47">COUNT(J78:M78)</f>
        <v>1</v>
      </c>
      <c r="S78" s="8"/>
      <c r="W78" s="2">
        <f>DL_OH!S51*8.63</f>
        <v>8.3834285714285723</v>
      </c>
      <c r="Y78" s="5">
        <f t="shared" ref="Y78:Y83" si="48">AVERAGE(T78:X78)</f>
        <v>8.3834285714285723</v>
      </c>
      <c r="Z78" s="3" t="e">
        <f t="shared" ref="Z78:Z83" si="49">SQRT(VAR(T78:X78))</f>
        <v>#DIV/0!</v>
      </c>
      <c r="AA78" s="3">
        <f t="shared" ref="AA78:AA83" si="50">COUNT(T78:X78)</f>
        <v>1</v>
      </c>
    </row>
    <row r="79" spans="1:27" ht="31.5" customHeight="1">
      <c r="A79" s="8"/>
      <c r="C79" s="29"/>
      <c r="E79" s="29"/>
      <c r="G79" s="4">
        <v>40</v>
      </c>
      <c r="H79" s="3" t="s">
        <v>417</v>
      </c>
      <c r="I79" s="17">
        <v>3.3</v>
      </c>
      <c r="M79" s="2">
        <f>M78*DL_OH!$W$51</f>
        <v>9.9123973874385012</v>
      </c>
      <c r="N79" s="5">
        <f t="shared" si="45"/>
        <v>9.9123973874385012</v>
      </c>
      <c r="O79" s="5" t="e">
        <f t="shared" si="46"/>
        <v>#DIV/0!</v>
      </c>
      <c r="P79" s="3">
        <f t="shared" si="47"/>
        <v>1</v>
      </c>
      <c r="S79" s="8"/>
      <c r="W79" s="2">
        <f>W78*DL_OH!$W$51</f>
        <v>9.9585552332472957</v>
      </c>
      <c r="Y79" s="5">
        <f t="shared" si="48"/>
        <v>9.9585552332472957</v>
      </c>
      <c r="Z79" s="3" t="e">
        <f t="shared" si="49"/>
        <v>#DIV/0!</v>
      </c>
      <c r="AA79" s="3">
        <f t="shared" si="50"/>
        <v>1</v>
      </c>
    </row>
    <row r="80" spans="1:27" ht="31.5" customHeight="1">
      <c r="A80" s="8"/>
      <c r="C80" s="29"/>
      <c r="E80" s="29"/>
      <c r="G80" s="4">
        <v>100</v>
      </c>
      <c r="H80" s="3" t="s">
        <v>417</v>
      </c>
      <c r="I80" s="17">
        <v>3.3</v>
      </c>
      <c r="M80" s="2">
        <f>M78*DL_OH!$AA$51</f>
        <v>10.973085755839508</v>
      </c>
      <c r="N80" s="5">
        <f t="shared" si="45"/>
        <v>10.973085755839508</v>
      </c>
      <c r="O80" s="5" t="e">
        <f t="shared" si="46"/>
        <v>#DIV/0!</v>
      </c>
      <c r="P80" s="3">
        <f t="shared" si="47"/>
        <v>1</v>
      </c>
      <c r="S80" s="8"/>
      <c r="W80" s="2">
        <f>W78*DL_OH!$AA$51</f>
        <v>11.024182779149587</v>
      </c>
      <c r="Y80" s="5">
        <f t="shared" si="48"/>
        <v>11.024182779149587</v>
      </c>
      <c r="Z80" s="3" t="e">
        <f t="shared" si="49"/>
        <v>#DIV/0!</v>
      </c>
      <c r="AA80" s="3">
        <f t="shared" si="50"/>
        <v>1</v>
      </c>
    </row>
    <row r="81" spans="1:27" ht="25.5">
      <c r="A81" s="8"/>
      <c r="G81" s="4">
        <v>20</v>
      </c>
      <c r="H81" s="11" t="s">
        <v>418</v>
      </c>
      <c r="I81" s="11">
        <v>0.12</v>
      </c>
      <c r="J81" s="20"/>
      <c r="K81" s="20"/>
      <c r="L81" s="20"/>
      <c r="M81" s="20">
        <f>DL_OH!S51*0.29</f>
        <v>0.28171428571428569</v>
      </c>
      <c r="N81" s="27">
        <f t="shared" si="45"/>
        <v>0.28171428571428569</v>
      </c>
      <c r="O81" s="27" t="e">
        <f t="shared" si="46"/>
        <v>#DIV/0!</v>
      </c>
      <c r="P81" s="11">
        <f t="shared" si="47"/>
        <v>1</v>
      </c>
      <c r="S81" s="8"/>
      <c r="T81" s="20"/>
      <c r="U81" s="20"/>
      <c r="V81" s="20"/>
      <c r="W81" s="20">
        <f>DL_OH!S51*0.32</f>
        <v>0.31085714285714289</v>
      </c>
      <c r="X81" s="20"/>
      <c r="Y81" s="27">
        <f t="shared" si="48"/>
        <v>0.31085714285714289</v>
      </c>
      <c r="Z81" s="11" t="e">
        <f t="shared" si="49"/>
        <v>#DIV/0!</v>
      </c>
      <c r="AA81" s="11">
        <f t="shared" si="50"/>
        <v>1</v>
      </c>
    </row>
    <row r="82" spans="1:27" ht="25.5">
      <c r="A82" s="8"/>
      <c r="G82" s="4">
        <v>40</v>
      </c>
      <c r="H82" s="11" t="s">
        <v>418</v>
      </c>
      <c r="I82" s="11">
        <v>0.12</v>
      </c>
      <c r="J82" s="20"/>
      <c r="K82" s="20"/>
      <c r="L82" s="20"/>
      <c r="M82" s="20">
        <f>M81*DL_OH!$W$51</f>
        <v>0.33464438211375608</v>
      </c>
      <c r="N82" s="27">
        <f t="shared" si="45"/>
        <v>0.33464438211375608</v>
      </c>
      <c r="O82" s="27" t="e">
        <f t="shared" si="46"/>
        <v>#DIV/0!</v>
      </c>
      <c r="P82" s="11">
        <f t="shared" si="47"/>
        <v>1</v>
      </c>
      <c r="S82" s="8"/>
      <c r="T82" s="20"/>
      <c r="U82" s="20"/>
      <c r="V82" s="20"/>
      <c r="W82" s="20">
        <f>W81*DL_OH!$W$51</f>
        <v>0.36926276647035161</v>
      </c>
      <c r="X82" s="20"/>
      <c r="Y82" s="27">
        <f t="shared" si="48"/>
        <v>0.36926276647035161</v>
      </c>
      <c r="Z82" s="11" t="e">
        <f t="shared" si="49"/>
        <v>#DIV/0!</v>
      </c>
      <c r="AA82" s="11">
        <f t="shared" si="50"/>
        <v>1</v>
      </c>
    </row>
    <row r="83" spans="1:27" ht="25.5">
      <c r="A83" s="8"/>
      <c r="G83" s="4">
        <v>100</v>
      </c>
      <c r="H83" s="11" t="s">
        <v>418</v>
      </c>
      <c r="I83" s="11">
        <v>0.12</v>
      </c>
      <c r="J83" s="20"/>
      <c r="K83" s="20"/>
      <c r="L83" s="20"/>
      <c r="M83" s="20">
        <f>M81*DL_OH!$AA$51</f>
        <v>0.37045341899807416</v>
      </c>
      <c r="N83" s="27">
        <f t="shared" si="45"/>
        <v>0.37045341899807416</v>
      </c>
      <c r="O83" s="27" t="e">
        <f t="shared" si="46"/>
        <v>#DIV/0!</v>
      </c>
      <c r="P83" s="11">
        <f t="shared" si="47"/>
        <v>1</v>
      </c>
      <c r="S83" s="8"/>
      <c r="T83" s="20"/>
      <c r="U83" s="20"/>
      <c r="V83" s="20"/>
      <c r="W83" s="20">
        <f>W81*DL_OH!$AA$51</f>
        <v>0.40877618648063363</v>
      </c>
      <c r="X83" s="20"/>
      <c r="Y83" s="27">
        <f t="shared" si="48"/>
        <v>0.40877618648063363</v>
      </c>
      <c r="Z83" s="11" t="e">
        <f t="shared" si="49"/>
        <v>#DIV/0!</v>
      </c>
      <c r="AA83" s="11">
        <f t="shared" si="50"/>
        <v>1</v>
      </c>
    </row>
    <row r="84" spans="1:27">
      <c r="A84" s="8"/>
      <c r="N84" s="5"/>
      <c r="S84" s="8"/>
      <c r="Y84" s="5"/>
    </row>
    <row r="85" spans="1:27" ht="31.5" customHeight="1">
      <c r="A85" s="8"/>
      <c r="B85" s="3" t="s">
        <v>413</v>
      </c>
      <c r="C85" s="3" t="s">
        <v>478</v>
      </c>
      <c r="D85" s="3" t="s">
        <v>459</v>
      </c>
      <c r="E85" s="3" t="s">
        <v>416</v>
      </c>
      <c r="F85" s="3" t="s">
        <v>70</v>
      </c>
      <c r="G85" s="4">
        <v>20</v>
      </c>
      <c r="H85" s="3" t="s">
        <v>417</v>
      </c>
      <c r="I85" s="17">
        <v>3.3</v>
      </c>
      <c r="N85" s="5" t="e">
        <f>AVERAGE(J85:M85)</f>
        <v>#DIV/0!</v>
      </c>
      <c r="O85" s="5" t="e">
        <f>SQRT(VAR(J85:M85))</f>
        <v>#DIV/0!</v>
      </c>
      <c r="P85" s="3">
        <f>COUNT(J85:M85)</f>
        <v>0</v>
      </c>
      <c r="S85" s="8"/>
      <c r="Y85" s="5" t="e">
        <f>AVERAGE(T85:X85)</f>
        <v>#DIV/0!</v>
      </c>
      <c r="Z85" s="3" t="e">
        <f>SQRT(VAR(T85:X85))</f>
        <v>#DIV/0!</v>
      </c>
      <c r="AA85" s="3">
        <f>COUNT(T85:X85)</f>
        <v>0</v>
      </c>
    </row>
    <row r="86" spans="1:27" ht="31.5" customHeight="1">
      <c r="A86" s="8"/>
      <c r="G86" s="4">
        <v>40</v>
      </c>
      <c r="H86" s="3" t="s">
        <v>417</v>
      </c>
      <c r="I86" s="17">
        <v>3.3</v>
      </c>
      <c r="N86" s="5" t="e">
        <f>AVERAGE(J86:M86)</f>
        <v>#DIV/0!</v>
      </c>
      <c r="O86" s="5" t="e">
        <f>SQRT(VAR(J86:M86))</f>
        <v>#DIV/0!</v>
      </c>
      <c r="P86" s="3">
        <f>COUNT(J86:M86)</f>
        <v>0</v>
      </c>
      <c r="S86" s="8"/>
      <c r="Y86" s="5" t="e">
        <f>AVERAGE(T86:X86)</f>
        <v>#DIV/0!</v>
      </c>
      <c r="Z86" s="3" t="e">
        <f>SQRT(VAR(T86:X86))</f>
        <v>#DIV/0!</v>
      </c>
      <c r="AA86" s="3">
        <f>COUNT(T86:X86)</f>
        <v>0</v>
      </c>
    </row>
    <row r="87" spans="1:27" ht="25.5">
      <c r="A87" s="8"/>
      <c r="G87" s="4">
        <v>20</v>
      </c>
      <c r="H87" s="11" t="s">
        <v>418</v>
      </c>
      <c r="I87" s="11">
        <v>0.12</v>
      </c>
      <c r="J87" s="20"/>
      <c r="K87" s="20"/>
      <c r="L87" s="20"/>
      <c r="M87" s="20"/>
      <c r="N87" s="27" t="e">
        <f>AVERAGE(J87:M87)</f>
        <v>#DIV/0!</v>
      </c>
      <c r="O87" s="27" t="e">
        <f>SQRT(VAR(J87:M87))</f>
        <v>#DIV/0!</v>
      </c>
      <c r="P87" s="11">
        <f>COUNT(J87:M87)</f>
        <v>0</v>
      </c>
      <c r="S87" s="8"/>
      <c r="T87" s="20"/>
      <c r="U87" s="20"/>
      <c r="V87" s="20"/>
      <c r="W87" s="20"/>
      <c r="X87" s="20"/>
      <c r="Y87" s="27" t="e">
        <f>AVERAGE(T87:X87)</f>
        <v>#DIV/0!</v>
      </c>
      <c r="Z87" s="11" t="e">
        <f>SQRT(VAR(T87:X87))</f>
        <v>#DIV/0!</v>
      </c>
      <c r="AA87" s="11">
        <f>COUNT(T87:X87)</f>
        <v>0</v>
      </c>
    </row>
    <row r="88" spans="1:27" ht="25.5">
      <c r="A88" s="8"/>
      <c r="G88" s="4">
        <v>40</v>
      </c>
      <c r="H88" s="11" t="s">
        <v>418</v>
      </c>
      <c r="I88" s="11">
        <v>0.12</v>
      </c>
      <c r="J88" s="20"/>
      <c r="K88" s="20"/>
      <c r="L88" s="20"/>
      <c r="M88" s="20"/>
      <c r="N88" s="27" t="e">
        <f>AVERAGE(J88:M88)</f>
        <v>#DIV/0!</v>
      </c>
      <c r="O88" s="27" t="e">
        <f>SQRT(VAR(J88:M88))</f>
        <v>#DIV/0!</v>
      </c>
      <c r="P88" s="11">
        <f>COUNT(J88:M88)</f>
        <v>0</v>
      </c>
      <c r="S88" s="8"/>
      <c r="T88" s="20"/>
      <c r="U88" s="20"/>
      <c r="V88" s="20"/>
      <c r="W88" s="20"/>
      <c r="X88" s="20"/>
      <c r="Y88" s="27" t="e">
        <f>AVERAGE(T88:X88)</f>
        <v>#DIV/0!</v>
      </c>
      <c r="Z88" s="11" t="e">
        <f>SQRT(VAR(T88:X88))</f>
        <v>#DIV/0!</v>
      </c>
      <c r="AA88" s="11">
        <f>COUNT(T88:X88)</f>
        <v>0</v>
      </c>
    </row>
    <row r="89" spans="1:27">
      <c r="N89" s="5"/>
      <c r="Y89" s="5"/>
    </row>
    <row r="90" spans="1:27" ht="25.5">
      <c r="A90" s="244" t="s">
        <v>432</v>
      </c>
      <c r="B90" s="9" t="s">
        <v>49</v>
      </c>
      <c r="C90" s="9"/>
      <c r="D90" s="9" t="s">
        <v>49</v>
      </c>
      <c r="E90" s="9"/>
      <c r="F90" s="9"/>
      <c r="G90" s="10"/>
      <c r="H90" s="13"/>
      <c r="I90" s="13"/>
      <c r="J90" s="16"/>
      <c r="K90" s="16"/>
      <c r="L90" s="16"/>
      <c r="M90" s="16"/>
      <c r="N90" s="26"/>
      <c r="O90" s="26"/>
      <c r="P90" s="13"/>
      <c r="S90" s="244" t="s">
        <v>432</v>
      </c>
      <c r="T90" s="16"/>
      <c r="U90" s="16"/>
      <c r="V90" s="16"/>
      <c r="W90" s="16"/>
      <c r="X90" s="16"/>
      <c r="Y90" s="26"/>
      <c r="Z90" s="13"/>
      <c r="AA90" s="13"/>
    </row>
    <row r="91" spans="1:27" ht="25.5">
      <c r="A91" s="244"/>
      <c r="B91" s="3" t="s">
        <v>413</v>
      </c>
      <c r="C91" s="3" t="s">
        <v>476</v>
      </c>
      <c r="D91" s="3" t="s">
        <v>435</v>
      </c>
      <c r="E91" s="3" t="s">
        <v>416</v>
      </c>
      <c r="H91" s="3" t="s">
        <v>417</v>
      </c>
      <c r="I91" s="17">
        <v>1.6</v>
      </c>
      <c r="J91" s="2">
        <f>UL_OH!R9*4.038</f>
        <v>4.1437025162337662</v>
      </c>
      <c r="N91" s="5">
        <f>AVERAGE(J91:M91)</f>
        <v>4.1437025162337662</v>
      </c>
      <c r="O91" s="5" t="e">
        <f>SQRT(VAR(J91:M91))</f>
        <v>#DIV/0!</v>
      </c>
      <c r="P91" s="3">
        <f>COUNT(J91:M91)</f>
        <v>1</v>
      </c>
      <c r="S91" s="244"/>
      <c r="T91" s="2">
        <f>UL_OH!R9*3.999</f>
        <v>4.10368161525974</v>
      </c>
      <c r="Y91" s="5">
        <f>AVERAGE(T91:X91)</f>
        <v>4.10368161525974</v>
      </c>
      <c r="Z91" s="3" t="e">
        <f>SQRT(VAR(T91:X91))</f>
        <v>#DIV/0!</v>
      </c>
      <c r="AA91" s="3">
        <f>COUNT(T91:X91)</f>
        <v>1</v>
      </c>
    </row>
    <row r="92" spans="1:27" ht="25.5">
      <c r="A92" s="244"/>
      <c r="H92" s="11" t="s">
        <v>418</v>
      </c>
      <c r="I92" s="11">
        <v>4.4999999999999998E-2</v>
      </c>
      <c r="J92" s="20">
        <f>UL_OH!R9*0.081</f>
        <v>8.3120332792207791E-2</v>
      </c>
      <c r="K92" s="20"/>
      <c r="L92" s="20"/>
      <c r="M92" s="20"/>
      <c r="N92" s="27">
        <f>AVERAGE(J92:M92)</f>
        <v>8.3120332792207791E-2</v>
      </c>
      <c r="O92" s="27" t="e">
        <f>SQRT(VAR(J92:M92))</f>
        <v>#DIV/0!</v>
      </c>
      <c r="P92" s="11">
        <f>COUNT(J92:M92)</f>
        <v>1</v>
      </c>
      <c r="S92" s="244"/>
      <c r="T92" s="20">
        <f>UL_OH!R9*0.073</f>
        <v>7.4910917207792208E-2</v>
      </c>
      <c r="U92" s="20"/>
      <c r="V92" s="20"/>
      <c r="W92" s="20"/>
      <c r="X92" s="20"/>
      <c r="Y92" s="27">
        <f>AVERAGE(T92:X92)</f>
        <v>7.4910917207792208E-2</v>
      </c>
      <c r="Z92" s="11" t="e">
        <f>SQRT(VAR(T92:X92))</f>
        <v>#DIV/0!</v>
      </c>
      <c r="AA92" s="11">
        <f>COUNT(T92:X92)</f>
        <v>1</v>
      </c>
    </row>
    <row r="93" spans="1:27">
      <c r="A93" s="244"/>
      <c r="N93" s="5"/>
      <c r="S93" s="244"/>
      <c r="Y93" s="5"/>
    </row>
    <row r="94" spans="1:27">
      <c r="A94" s="244"/>
      <c r="N94" s="5"/>
      <c r="S94" s="244"/>
      <c r="Y94" s="5"/>
    </row>
    <row r="95" spans="1:27" ht="25.5">
      <c r="A95" s="244"/>
      <c r="B95" s="3" t="s">
        <v>413</v>
      </c>
      <c r="C95" s="3" t="s">
        <v>476</v>
      </c>
      <c r="D95" s="3" t="s">
        <v>433</v>
      </c>
      <c r="E95" s="3" t="s">
        <v>416</v>
      </c>
      <c r="H95" s="3" t="s">
        <v>417</v>
      </c>
      <c r="I95" s="17">
        <v>1.6</v>
      </c>
      <c r="N95" s="5" t="e">
        <f>AVERAGE(J95:M95)</f>
        <v>#DIV/0!</v>
      </c>
      <c r="O95" s="5" t="e">
        <f>SQRT(VAR(J95:M95))</f>
        <v>#DIV/0!</v>
      </c>
      <c r="P95" s="3">
        <f>COUNT(J95:M95)</f>
        <v>0</v>
      </c>
      <c r="S95" s="244"/>
      <c r="Y95" s="5" t="e">
        <f>AVERAGE(T95:X95)</f>
        <v>#DIV/0!</v>
      </c>
      <c r="Z95" s="3" t="e">
        <f>SQRT(VAR(T95:X95))</f>
        <v>#DIV/0!</v>
      </c>
      <c r="AA95" s="3">
        <f>COUNT(T95:X95)</f>
        <v>0</v>
      </c>
    </row>
    <row r="96" spans="1:27" ht="25.5">
      <c r="A96" s="244"/>
      <c r="H96" s="11" t="s">
        <v>418</v>
      </c>
      <c r="I96" s="11">
        <v>4.4999999999999998E-2</v>
      </c>
      <c r="J96" s="20"/>
      <c r="K96" s="20"/>
      <c r="L96" s="20"/>
      <c r="M96" s="20"/>
      <c r="N96" s="27" t="e">
        <f>AVERAGE(J96:M96)</f>
        <v>#DIV/0!</v>
      </c>
      <c r="O96" s="27" t="e">
        <f>SQRT(VAR(J96:M96))</f>
        <v>#DIV/0!</v>
      </c>
      <c r="P96" s="11">
        <f>COUNT(J96:M96)</f>
        <v>0</v>
      </c>
      <c r="S96" s="244"/>
      <c r="T96" s="20"/>
      <c r="U96" s="20"/>
      <c r="V96" s="20"/>
      <c r="W96" s="20"/>
      <c r="X96" s="20"/>
      <c r="Y96" s="27" t="e">
        <f>AVERAGE(T96:X96)</f>
        <v>#DIV/0!</v>
      </c>
      <c r="Z96" s="11" t="e">
        <f>SQRT(VAR(T96:X96))</f>
        <v>#DIV/0!</v>
      </c>
      <c r="AA96" s="11">
        <f>COUNT(T96:X96)</f>
        <v>0</v>
      </c>
    </row>
    <row r="97" spans="1:27">
      <c r="A97" s="244"/>
      <c r="N97" s="5"/>
      <c r="S97" s="244"/>
      <c r="Y97" s="5"/>
    </row>
    <row r="98" spans="1:27" ht="25.5">
      <c r="A98" s="244"/>
      <c r="B98" s="3" t="s">
        <v>413</v>
      </c>
      <c r="C98" s="3" t="s">
        <v>476</v>
      </c>
      <c r="D98" s="3" t="s">
        <v>485</v>
      </c>
      <c r="E98" s="3" t="s">
        <v>416</v>
      </c>
      <c r="H98" s="3" t="s">
        <v>417</v>
      </c>
      <c r="I98" s="17">
        <v>1.6</v>
      </c>
      <c r="J98" s="2">
        <f>UL_OH!R9*4.685</f>
        <v>4.8076390016233761</v>
      </c>
      <c r="N98" s="5">
        <f>AVERAGE(J98:M98)</f>
        <v>4.8076390016233761</v>
      </c>
      <c r="O98" s="5" t="e">
        <f>SQRT(VAR(J98:M98))</f>
        <v>#DIV/0!</v>
      </c>
      <c r="P98" s="3">
        <f>COUNT(J98:M98)</f>
        <v>1</v>
      </c>
      <c r="S98" s="244"/>
      <c r="T98" s="2">
        <f>UL_OH!R9*4.675</f>
        <v>4.7973772321428569</v>
      </c>
      <c r="Y98" s="5">
        <f>AVERAGE(T98:X98)</f>
        <v>4.7973772321428569</v>
      </c>
      <c r="Z98" s="3" t="e">
        <f>SQRT(VAR(T98:X98))</f>
        <v>#DIV/0!</v>
      </c>
      <c r="AA98" s="3">
        <f>COUNT(T98:X98)</f>
        <v>1</v>
      </c>
    </row>
    <row r="99" spans="1:27" ht="25.5">
      <c r="A99" s="244"/>
      <c r="H99" s="11" t="s">
        <v>418</v>
      </c>
      <c r="I99" s="11">
        <v>4.4999999999999998E-2</v>
      </c>
      <c r="J99" s="20">
        <f>UL_OH!R9*0.1</f>
        <v>0.10261769480519481</v>
      </c>
      <c r="K99" s="20"/>
      <c r="L99" s="20"/>
      <c r="M99" s="20"/>
      <c r="N99" s="27">
        <f>AVERAGE(J99:M99)</f>
        <v>0.10261769480519481</v>
      </c>
      <c r="O99" s="27" t="e">
        <f>SQRT(VAR(J99:M99))</f>
        <v>#DIV/0!</v>
      </c>
      <c r="P99" s="11">
        <f>COUNT(J99:M99)</f>
        <v>1</v>
      </c>
      <c r="S99" s="244"/>
      <c r="T99" s="20">
        <f>UL_OH!R9*0.091</f>
        <v>9.3382102272727266E-2</v>
      </c>
      <c r="U99" s="20"/>
      <c r="V99" s="20"/>
      <c r="W99" s="20"/>
      <c r="X99" s="20"/>
      <c r="Y99" s="27">
        <f>AVERAGE(T99:X99)</f>
        <v>9.3382102272727266E-2</v>
      </c>
      <c r="Z99" s="11" t="e">
        <f>SQRT(VAR(T99:X99))</f>
        <v>#DIV/0!</v>
      </c>
      <c r="AA99" s="11">
        <f>COUNT(T99:X99)</f>
        <v>1</v>
      </c>
    </row>
    <row r="100" spans="1:27">
      <c r="A100" s="244"/>
      <c r="N100" s="5"/>
      <c r="S100" s="244"/>
      <c r="Y100" s="5"/>
    </row>
    <row r="101" spans="1:27">
      <c r="A101" s="244"/>
      <c r="N101" s="5"/>
      <c r="S101" s="244"/>
      <c r="Y101" s="5"/>
    </row>
    <row r="102" spans="1:27" ht="25.5">
      <c r="A102" s="244"/>
      <c r="B102" s="3" t="s">
        <v>413</v>
      </c>
      <c r="C102" s="3" t="s">
        <v>478</v>
      </c>
      <c r="D102" s="3" t="s">
        <v>434</v>
      </c>
      <c r="E102" s="3" t="s">
        <v>416</v>
      </c>
      <c r="H102" s="3" t="s">
        <v>417</v>
      </c>
      <c r="I102" s="17">
        <v>1.6</v>
      </c>
      <c r="N102" s="5" t="e">
        <f>AVERAGE(J102:M102)</f>
        <v>#DIV/0!</v>
      </c>
      <c r="O102" s="5" t="e">
        <f>SQRT(VAR(J102:M102))</f>
        <v>#DIV/0!</v>
      </c>
      <c r="P102" s="3">
        <f>COUNT(J102:M102)</f>
        <v>0</v>
      </c>
      <c r="S102" s="244"/>
      <c r="Y102" s="5" t="e">
        <f>AVERAGE(T102:X102)</f>
        <v>#DIV/0!</v>
      </c>
      <c r="Z102" s="3" t="e">
        <f>SQRT(VAR(T102:X102))</f>
        <v>#DIV/0!</v>
      </c>
      <c r="AA102" s="3">
        <f>COUNT(T102:X102)</f>
        <v>0</v>
      </c>
    </row>
    <row r="103" spans="1:27" ht="25.5">
      <c r="A103" s="244"/>
      <c r="H103" s="11" t="s">
        <v>418</v>
      </c>
      <c r="I103" s="11">
        <v>4.4999999999999998E-2</v>
      </c>
      <c r="J103" s="20"/>
      <c r="K103" s="20"/>
      <c r="L103" s="20"/>
      <c r="M103" s="20"/>
      <c r="N103" s="27" t="e">
        <f>AVERAGE(J103:M103)</f>
        <v>#DIV/0!</v>
      </c>
      <c r="O103" s="27" t="e">
        <f>SQRT(VAR(J103:M103))</f>
        <v>#DIV/0!</v>
      </c>
      <c r="P103" s="11">
        <f>COUNT(J103:M103)</f>
        <v>0</v>
      </c>
      <c r="S103" s="244"/>
      <c r="T103" s="20"/>
      <c r="U103" s="20"/>
      <c r="V103" s="20"/>
      <c r="W103" s="20"/>
      <c r="X103" s="20"/>
      <c r="Y103" s="27" t="e">
        <f>AVERAGE(T103:X103)</f>
        <v>#DIV/0!</v>
      </c>
      <c r="Z103" s="11" t="e">
        <f>SQRT(VAR(T103:X103))</f>
        <v>#DIV/0!</v>
      </c>
      <c r="AA103" s="11">
        <f>COUNT(T103:X103)</f>
        <v>0</v>
      </c>
    </row>
    <row r="104" spans="1:27">
      <c r="A104" s="244"/>
      <c r="N104" s="5"/>
      <c r="S104" s="244"/>
      <c r="Y104" s="5"/>
    </row>
    <row r="105" spans="1:27" ht="25.5">
      <c r="A105" s="244"/>
      <c r="B105" s="3" t="s">
        <v>413</v>
      </c>
      <c r="C105" s="3" t="s">
        <v>476</v>
      </c>
      <c r="D105" s="3" t="s">
        <v>487</v>
      </c>
      <c r="E105" s="3" t="s">
        <v>416</v>
      </c>
      <c r="H105" s="3" t="s">
        <v>417</v>
      </c>
      <c r="I105" s="17">
        <v>1.6</v>
      </c>
      <c r="N105" s="5" t="e">
        <f>AVERAGE(J105:M105)</f>
        <v>#DIV/0!</v>
      </c>
      <c r="O105" s="5" t="e">
        <f>SQRT(VAR(J105:M105))</f>
        <v>#DIV/0!</v>
      </c>
      <c r="P105" s="3">
        <f>COUNT(J105:M105)</f>
        <v>0</v>
      </c>
      <c r="S105" s="244"/>
      <c r="Y105" s="5" t="e">
        <f>AVERAGE(T105:X105)</f>
        <v>#DIV/0!</v>
      </c>
      <c r="Z105" s="3" t="e">
        <f>SQRT(VAR(T105:X105))</f>
        <v>#DIV/0!</v>
      </c>
      <c r="AA105" s="3">
        <f>COUNT(T105:X105)</f>
        <v>0</v>
      </c>
    </row>
    <row r="106" spans="1:27" ht="25.5">
      <c r="A106" s="244"/>
      <c r="H106" s="11" t="s">
        <v>418</v>
      </c>
      <c r="I106" s="11">
        <v>4.4999999999999998E-2</v>
      </c>
      <c r="J106" s="20"/>
      <c r="K106" s="20"/>
      <c r="L106" s="20"/>
      <c r="M106" s="20"/>
      <c r="N106" s="27" t="e">
        <f>AVERAGE(J106:M106)</f>
        <v>#DIV/0!</v>
      </c>
      <c r="O106" s="27" t="e">
        <f>SQRT(VAR(J106:M106))</f>
        <v>#DIV/0!</v>
      </c>
      <c r="P106" s="11">
        <f>COUNT(J106:M106)</f>
        <v>0</v>
      </c>
      <c r="S106" s="244"/>
      <c r="T106" s="20"/>
      <c r="U106" s="20"/>
      <c r="V106" s="20"/>
      <c r="W106" s="20"/>
      <c r="X106" s="20"/>
      <c r="Y106" s="27" t="e">
        <f>AVERAGE(T106:X106)</f>
        <v>#DIV/0!</v>
      </c>
      <c r="Z106" s="11" t="e">
        <f>SQRT(VAR(T106:X106))</f>
        <v>#DIV/0!</v>
      </c>
      <c r="AA106" s="11">
        <f>COUNT(T106:X106)</f>
        <v>0</v>
      </c>
    </row>
    <row r="107" spans="1:27">
      <c r="A107" s="30"/>
      <c r="N107" s="5"/>
      <c r="S107" s="30"/>
      <c r="Y107" s="5"/>
    </row>
    <row r="108" spans="1:27" ht="25.5">
      <c r="A108" s="30"/>
      <c r="B108" s="9" t="s">
        <v>50</v>
      </c>
      <c r="C108" s="9"/>
      <c r="D108" s="9" t="s">
        <v>50</v>
      </c>
      <c r="E108" s="9"/>
      <c r="F108" s="9"/>
      <c r="G108" s="10"/>
      <c r="H108" s="13"/>
      <c r="I108" s="13"/>
      <c r="J108" s="16"/>
      <c r="K108" s="16"/>
      <c r="L108" s="16"/>
      <c r="M108" s="16"/>
      <c r="N108" s="26"/>
      <c r="O108" s="26"/>
      <c r="P108" s="13"/>
      <c r="S108" s="30"/>
      <c r="T108" s="16"/>
      <c r="U108" s="16"/>
      <c r="V108" s="16"/>
      <c r="W108" s="16"/>
      <c r="X108" s="16"/>
      <c r="Y108" s="26"/>
      <c r="Z108" s="13"/>
      <c r="AA108" s="13"/>
    </row>
    <row r="109" spans="1:27" ht="38.25">
      <c r="A109" s="30"/>
      <c r="B109" s="3" t="s">
        <v>413</v>
      </c>
      <c r="C109" s="3" t="s">
        <v>476</v>
      </c>
      <c r="D109" s="3" t="s">
        <v>436</v>
      </c>
      <c r="E109" s="3" t="s">
        <v>429</v>
      </c>
      <c r="F109" s="3" t="s">
        <v>69</v>
      </c>
      <c r="H109" s="3" t="s">
        <v>417</v>
      </c>
      <c r="I109" s="17">
        <v>1.6</v>
      </c>
      <c r="J109" s="2">
        <f>UL_OH!R28*3.62</f>
        <v>3.334050420168067</v>
      </c>
      <c r="N109" s="5">
        <f>AVERAGE(J109:M109)</f>
        <v>3.334050420168067</v>
      </c>
      <c r="O109" s="5" t="e">
        <f>SQRT(VAR(J109:M109))</f>
        <v>#DIV/0!</v>
      </c>
      <c r="P109" s="3">
        <f>COUNT(J109:M109)</f>
        <v>1</v>
      </c>
      <c r="S109" s="30"/>
      <c r="T109" s="2">
        <f>UL_OH!R28*3.593</f>
        <v>3.3091831932773106</v>
      </c>
      <c r="Y109" s="5">
        <f>AVERAGE(T109:X109)</f>
        <v>3.3091831932773106</v>
      </c>
      <c r="Z109" s="3" t="e">
        <f>SQRT(VAR(T109:X109))</f>
        <v>#DIV/0!</v>
      </c>
      <c r="AA109" s="3">
        <f>COUNT(T109:X109)</f>
        <v>1</v>
      </c>
    </row>
    <row r="110" spans="1:27" ht="25.5">
      <c r="A110" s="30"/>
      <c r="H110" s="11" t="s">
        <v>418</v>
      </c>
      <c r="I110" s="11">
        <v>4.4999999999999998E-2</v>
      </c>
      <c r="J110" s="20">
        <f>UL_OH!R28*0.066</f>
        <v>6.0786554621848739E-2</v>
      </c>
      <c r="K110" s="20"/>
      <c r="L110" s="20"/>
      <c r="M110" s="20"/>
      <c r="N110" s="27">
        <f>AVERAGE(J110:M110)</f>
        <v>6.0786554621848739E-2</v>
      </c>
      <c r="O110" s="27" t="e">
        <f>SQRT(VAR(J110:M110))</f>
        <v>#DIV/0!</v>
      </c>
      <c r="P110" s="11">
        <f>COUNT(J110:M110)</f>
        <v>1</v>
      </c>
      <c r="S110" s="30"/>
      <c r="T110" s="20">
        <f>UL_OH!R28*0.059</f>
        <v>5.4339495798319322E-2</v>
      </c>
      <c r="U110" s="20"/>
      <c r="V110" s="20"/>
      <c r="W110" s="20"/>
      <c r="X110" s="20"/>
      <c r="Y110" s="27">
        <f>AVERAGE(T110:X110)</f>
        <v>5.4339495798319322E-2</v>
      </c>
      <c r="Z110" s="11" t="e">
        <f>SQRT(VAR(T110:X110))</f>
        <v>#DIV/0!</v>
      </c>
      <c r="AA110" s="11">
        <f>COUNT(T110:X110)</f>
        <v>1</v>
      </c>
    </row>
    <row r="111" spans="1:27">
      <c r="A111" s="30"/>
      <c r="N111" s="5"/>
      <c r="S111" s="30"/>
      <c r="Y111" s="5"/>
    </row>
    <row r="112" spans="1:27" ht="38.25">
      <c r="A112" s="30"/>
      <c r="B112" s="3" t="s">
        <v>413</v>
      </c>
      <c r="C112" s="3" t="s">
        <v>476</v>
      </c>
      <c r="D112" s="3" t="s">
        <v>436</v>
      </c>
      <c r="E112" s="3" t="s">
        <v>416</v>
      </c>
      <c r="F112" s="3" t="s">
        <v>69</v>
      </c>
      <c r="H112" s="3" t="s">
        <v>417</v>
      </c>
      <c r="I112" s="17">
        <v>1.6</v>
      </c>
      <c r="J112" s="2">
        <f>UL_OH!R19*3.747</f>
        <v>3.5265882352941178</v>
      </c>
      <c r="N112" s="5">
        <f>AVERAGE(J112:M112)</f>
        <v>3.5265882352941178</v>
      </c>
      <c r="O112" s="5" t="e">
        <f>SQRT(VAR(J112:M112))</f>
        <v>#DIV/0!</v>
      </c>
      <c r="P112" s="3">
        <f>COUNT(J112:M112)</f>
        <v>1</v>
      </c>
      <c r="S112" s="30"/>
      <c r="T112" s="2">
        <f>UL_OH!R19*3.751</f>
        <v>3.5303529411764707</v>
      </c>
      <c r="Y112" s="5">
        <f>AVERAGE(T112:X112)</f>
        <v>3.5303529411764707</v>
      </c>
      <c r="Z112" s="3" t="e">
        <f>SQRT(VAR(T112:X112))</f>
        <v>#DIV/0!</v>
      </c>
      <c r="AA112" s="3">
        <f>COUNT(T112:X112)</f>
        <v>1</v>
      </c>
    </row>
    <row r="113" spans="1:27" ht="25.5">
      <c r="A113" s="30"/>
      <c r="H113" s="11" t="s">
        <v>418</v>
      </c>
      <c r="I113" s="11">
        <v>4.4999999999999998E-2</v>
      </c>
      <c r="J113" s="20">
        <f>UL_OH!R19*0.052</f>
        <v>4.8941176470588238E-2</v>
      </c>
      <c r="K113" s="20"/>
      <c r="L113" s="20"/>
      <c r="M113" s="20"/>
      <c r="N113" s="27">
        <f>AVERAGE(J113:M113)</f>
        <v>4.8941176470588238E-2</v>
      </c>
      <c r="O113" s="27" t="e">
        <f>SQRT(VAR(J113:M113))</f>
        <v>#DIV/0!</v>
      </c>
      <c r="P113" s="11">
        <f>COUNT(J113:M113)</f>
        <v>1</v>
      </c>
      <c r="S113" s="30"/>
      <c r="T113" s="20">
        <f>UL_OH!R19*0.045</f>
        <v>4.2352941176470593E-2</v>
      </c>
      <c r="U113" s="20"/>
      <c r="V113" s="20"/>
      <c r="W113" s="20"/>
      <c r="X113" s="20"/>
      <c r="Y113" s="27">
        <f>AVERAGE(T113:X113)</f>
        <v>4.2352941176470593E-2</v>
      </c>
      <c r="Z113" s="11" t="e">
        <f>SQRT(VAR(T113:X113))</f>
        <v>#DIV/0!</v>
      </c>
      <c r="AA113" s="11">
        <f>COUNT(T113:X113)</f>
        <v>1</v>
      </c>
    </row>
    <row r="114" spans="1:27">
      <c r="A114" s="30"/>
      <c r="N114" s="5"/>
      <c r="S114" s="30"/>
      <c r="Y114" s="5"/>
    </row>
    <row r="115" spans="1:27" ht="38.25">
      <c r="A115" s="30"/>
      <c r="B115" s="3" t="s">
        <v>413</v>
      </c>
      <c r="C115" s="3" t="s">
        <v>476</v>
      </c>
      <c r="D115" s="3" t="s">
        <v>488</v>
      </c>
      <c r="E115" s="3" t="s">
        <v>429</v>
      </c>
      <c r="F115" s="3" t="s">
        <v>69</v>
      </c>
      <c r="H115" s="3" t="s">
        <v>417</v>
      </c>
      <c r="I115" s="17">
        <v>1.6</v>
      </c>
      <c r="J115" s="2">
        <f>UL_OH!R28*4.166</f>
        <v>3.8369210084033614</v>
      </c>
      <c r="N115" s="5">
        <f>AVERAGE(J115:M115)</f>
        <v>3.8369210084033614</v>
      </c>
      <c r="O115" s="5" t="e">
        <f>SQRT(VAR(J115:M115))</f>
        <v>#DIV/0!</v>
      </c>
      <c r="P115" s="3">
        <f>COUNT(J115:M115)</f>
        <v>1</v>
      </c>
      <c r="S115" s="30"/>
      <c r="T115" s="2">
        <f>UL_OH!R28*4.153</f>
        <v>3.824947899159663</v>
      </c>
      <c r="W115" s="2">
        <f>UL_OH!R29*3.23</f>
        <v>3.2387752983912823</v>
      </c>
      <c r="Y115" s="5">
        <f>AVERAGE(T115:X115)</f>
        <v>3.5318615987754729</v>
      </c>
      <c r="Z115" s="3">
        <f>SQRT(VAR(T115:X115))</f>
        <v>0.4144866209490769</v>
      </c>
      <c r="AA115" s="3">
        <f>COUNT(T115:X115)</f>
        <v>2</v>
      </c>
    </row>
    <row r="116" spans="1:27" ht="25.5">
      <c r="A116" s="30"/>
      <c r="H116" s="11" t="s">
        <v>418</v>
      </c>
      <c r="I116" s="11">
        <v>4.4999999999999998E-2</v>
      </c>
      <c r="J116" s="20">
        <f>UL_OH!R28*0.079</f>
        <v>7.275966386554622E-2</v>
      </c>
      <c r="K116" s="20"/>
      <c r="L116" s="20"/>
      <c r="M116" s="20"/>
      <c r="N116" s="27">
        <f>AVERAGE(J116:M116)</f>
        <v>7.275966386554622E-2</v>
      </c>
      <c r="O116" s="27" t="e">
        <f>SQRT(VAR(J116:M116))</f>
        <v>#DIV/0!</v>
      </c>
      <c r="P116" s="11">
        <f>COUNT(J116:M116)</f>
        <v>1</v>
      </c>
      <c r="S116" s="30"/>
      <c r="T116" s="20">
        <f>UL_OH!R28*0.071</f>
        <v>6.5391596638655458E-2</v>
      </c>
      <c r="U116" s="20"/>
      <c r="V116" s="20"/>
      <c r="W116" s="31" t="s">
        <v>165</v>
      </c>
      <c r="X116" s="20"/>
      <c r="Y116" s="27">
        <f>AVERAGE(T116:X116)</f>
        <v>6.5391596638655458E-2</v>
      </c>
      <c r="Z116" s="11" t="e">
        <f>SQRT(VAR(T116:X116))</f>
        <v>#DIV/0!</v>
      </c>
      <c r="AA116" s="11">
        <f>COUNT(T116:X116)</f>
        <v>1</v>
      </c>
    </row>
    <row r="117" spans="1:27">
      <c r="A117" s="30"/>
      <c r="N117" s="5"/>
      <c r="S117" s="30"/>
      <c r="Y117" s="5"/>
    </row>
    <row r="118" spans="1:27" ht="38.25">
      <c r="A118" s="30"/>
      <c r="B118" s="3" t="s">
        <v>413</v>
      </c>
      <c r="C118" s="3" t="s">
        <v>476</v>
      </c>
      <c r="D118" s="3" t="s">
        <v>488</v>
      </c>
      <c r="E118" s="3" t="s">
        <v>416</v>
      </c>
      <c r="F118" s="3" t="s">
        <v>69</v>
      </c>
      <c r="H118" s="3" t="s">
        <v>417</v>
      </c>
      <c r="I118" s="17">
        <v>1.6</v>
      </c>
      <c r="J118" s="2">
        <f>UL_OH!R19*4.283</f>
        <v>4.0310588235294125</v>
      </c>
      <c r="N118" s="5">
        <f>AVERAGE(J118:M118)</f>
        <v>4.0310588235294125</v>
      </c>
      <c r="O118" s="5" t="e">
        <f>SQRT(VAR(J118:M118))</f>
        <v>#DIV/0!</v>
      </c>
      <c r="P118" s="3">
        <f>COUNT(J118:M118)</f>
        <v>1</v>
      </c>
      <c r="S118" s="30"/>
      <c r="T118" s="2">
        <f>UL_OH!R19*4.293</f>
        <v>4.0404705882352943</v>
      </c>
      <c r="Y118" s="5">
        <f>AVERAGE(T118:X118)</f>
        <v>4.0404705882352943</v>
      </c>
      <c r="Z118" s="3" t="e">
        <f>SQRT(VAR(T118:X118))</f>
        <v>#DIV/0!</v>
      </c>
      <c r="AA118" s="3">
        <f>COUNT(T118:X118)</f>
        <v>1</v>
      </c>
    </row>
    <row r="119" spans="1:27" ht="25.5">
      <c r="A119" s="30"/>
      <c r="H119" s="11" t="s">
        <v>418</v>
      </c>
      <c r="I119" s="11">
        <v>4.4999999999999998E-2</v>
      </c>
      <c r="J119" s="20">
        <f>UL_OH!R19*0.063</f>
        <v>5.929411764705883E-2</v>
      </c>
      <c r="K119" s="20"/>
      <c r="L119" s="20"/>
      <c r="M119" s="20"/>
      <c r="N119" s="27">
        <f>AVERAGE(J119:M119)</f>
        <v>5.929411764705883E-2</v>
      </c>
      <c r="O119" s="27" t="e">
        <f>SQRT(VAR(J119:M119))</f>
        <v>#DIV/0!</v>
      </c>
      <c r="P119" s="11">
        <f>COUNT(J119:M119)</f>
        <v>1</v>
      </c>
      <c r="S119" s="30"/>
      <c r="T119" s="20">
        <f>UL_OH!R19*0.056</f>
        <v>5.2705882352941186E-2</v>
      </c>
      <c r="U119" s="20"/>
      <c r="V119" s="20"/>
      <c r="W119" s="20"/>
      <c r="X119" s="20"/>
      <c r="Y119" s="27">
        <f>AVERAGE(T119:X119)</f>
        <v>5.2705882352941186E-2</v>
      </c>
      <c r="Z119" s="11" t="e">
        <f>SQRT(VAR(T119:X119))</f>
        <v>#DIV/0!</v>
      </c>
      <c r="AA119" s="11">
        <f>COUNT(T119:X119)</f>
        <v>1</v>
      </c>
    </row>
    <row r="120" spans="1:27">
      <c r="A120" s="30"/>
      <c r="N120" s="5"/>
      <c r="S120" s="244"/>
      <c r="Y120" s="5"/>
    </row>
    <row r="121" spans="1:27" ht="38.25">
      <c r="A121" s="30"/>
      <c r="B121" s="3" t="s">
        <v>413</v>
      </c>
      <c r="C121" s="3" t="s">
        <v>478</v>
      </c>
      <c r="D121" s="3" t="s">
        <v>489</v>
      </c>
      <c r="E121" s="3" t="s">
        <v>416</v>
      </c>
      <c r="F121" s="3" t="s">
        <v>70</v>
      </c>
      <c r="H121" s="3" t="s">
        <v>417</v>
      </c>
      <c r="I121" s="17">
        <v>1.6</v>
      </c>
      <c r="N121" s="5" t="e">
        <f>AVERAGE(J121:M121)</f>
        <v>#DIV/0!</v>
      </c>
      <c r="O121" s="5" t="e">
        <f>SQRT(VAR(J121:M121))</f>
        <v>#DIV/0!</v>
      </c>
      <c r="P121" s="3">
        <f>COUNT(J121:M121)</f>
        <v>0</v>
      </c>
      <c r="S121" s="244"/>
      <c r="Y121" s="5" t="e">
        <f>AVERAGE(T121:X121)</f>
        <v>#DIV/0!</v>
      </c>
      <c r="Z121" s="3" t="e">
        <f>SQRT(VAR(T121:X121))</f>
        <v>#DIV/0!</v>
      </c>
      <c r="AA121" s="3">
        <f>COUNT(T121:X121)</f>
        <v>0</v>
      </c>
    </row>
    <row r="122" spans="1:27" ht="25.5">
      <c r="A122" s="30"/>
      <c r="H122" s="11" t="s">
        <v>418</v>
      </c>
      <c r="I122" s="11">
        <v>4.4999999999999998E-2</v>
      </c>
      <c r="J122" s="20"/>
      <c r="K122" s="20"/>
      <c r="L122" s="20"/>
      <c r="M122" s="20"/>
      <c r="N122" s="27" t="e">
        <f>AVERAGE(J122:M122)</f>
        <v>#DIV/0!</v>
      </c>
      <c r="O122" s="27" t="e">
        <f>SQRT(VAR(J122:M122))</f>
        <v>#DIV/0!</v>
      </c>
      <c r="P122" s="11">
        <f>COUNT(J122:M122)</f>
        <v>0</v>
      </c>
      <c r="S122" s="244"/>
      <c r="T122" s="20"/>
      <c r="U122" s="20"/>
      <c r="V122" s="20"/>
      <c r="W122" s="20"/>
      <c r="X122" s="20"/>
      <c r="Y122" s="27" t="e">
        <f>AVERAGE(T122:X122)</f>
        <v>#DIV/0!</v>
      </c>
      <c r="Z122" s="11" t="e">
        <f>SQRT(VAR(T122:X122))</f>
        <v>#DIV/0!</v>
      </c>
      <c r="AA122" s="11">
        <f>COUNT(T122:X122)</f>
        <v>0</v>
      </c>
    </row>
    <row r="123" spans="1:27">
      <c r="N123" s="5"/>
      <c r="S123" s="244"/>
      <c r="Y123" s="5"/>
    </row>
    <row r="124" spans="1:27" ht="38.25">
      <c r="A124" s="30"/>
      <c r="B124" s="3" t="s">
        <v>413</v>
      </c>
      <c r="C124" s="3" t="s">
        <v>454</v>
      </c>
      <c r="D124" s="3" t="s">
        <v>490</v>
      </c>
      <c r="E124" s="3" t="s">
        <v>416</v>
      </c>
      <c r="F124" s="189" t="s">
        <v>499</v>
      </c>
      <c r="H124" s="3" t="s">
        <v>417</v>
      </c>
      <c r="I124" s="17">
        <v>1.6</v>
      </c>
      <c r="N124" s="5" t="e">
        <f>AVERAGE(J124:M124)</f>
        <v>#DIV/0!</v>
      </c>
      <c r="O124" s="5" t="e">
        <f>SQRT(VAR(J124:M124))</f>
        <v>#DIV/0!</v>
      </c>
      <c r="P124" s="3">
        <f>COUNT(J124:M124)</f>
        <v>0</v>
      </c>
      <c r="S124" s="244"/>
      <c r="Y124" s="5" t="e">
        <f>AVERAGE(T124:X124)</f>
        <v>#DIV/0!</v>
      </c>
      <c r="Z124" s="3" t="e">
        <f>SQRT(VAR(T124:X124))</f>
        <v>#DIV/0!</v>
      </c>
      <c r="AA124" s="3">
        <f>COUNT(T124:X124)</f>
        <v>0</v>
      </c>
    </row>
    <row r="125" spans="1:27" ht="25.5">
      <c r="A125" s="30"/>
      <c r="H125" s="11" t="s">
        <v>418</v>
      </c>
      <c r="I125" s="11">
        <v>4.4999999999999998E-2</v>
      </c>
      <c r="J125" s="20"/>
      <c r="K125" s="20"/>
      <c r="L125" s="20"/>
      <c r="M125" s="20"/>
      <c r="N125" s="27" t="e">
        <f>AVERAGE(J125:M125)</f>
        <v>#DIV/0!</v>
      </c>
      <c r="O125" s="27" t="e">
        <f>SQRT(VAR(J125:M125))</f>
        <v>#DIV/0!</v>
      </c>
      <c r="P125" s="11">
        <f>COUNT(J125:M125)</f>
        <v>0</v>
      </c>
      <c r="S125" s="244"/>
      <c r="T125" s="20"/>
      <c r="U125" s="20"/>
      <c r="V125" s="20"/>
      <c r="W125" s="20"/>
      <c r="X125" s="20"/>
      <c r="Y125" s="27" t="e">
        <f>AVERAGE(T125:X125)</f>
        <v>#DIV/0!</v>
      </c>
      <c r="Z125" s="11" t="e">
        <f>SQRT(VAR(T125:X125))</f>
        <v>#DIV/0!</v>
      </c>
      <c r="AA125" s="11">
        <f>COUNT(T125:X125)</f>
        <v>0</v>
      </c>
    </row>
    <row r="126" spans="1:27">
      <c r="A126" s="30"/>
      <c r="N126" s="5"/>
      <c r="S126" s="244"/>
      <c r="Y126" s="5"/>
    </row>
    <row r="127" spans="1:27" ht="38.25">
      <c r="A127" s="30"/>
      <c r="B127" s="3" t="s">
        <v>413</v>
      </c>
      <c r="C127" s="3" t="s">
        <v>476</v>
      </c>
      <c r="D127" s="29" t="s">
        <v>488</v>
      </c>
      <c r="E127" s="3" t="s">
        <v>429</v>
      </c>
      <c r="F127" s="29" t="s">
        <v>70</v>
      </c>
      <c r="G127" s="32"/>
      <c r="H127" s="3" t="s">
        <v>417</v>
      </c>
      <c r="I127" s="17">
        <v>1.6</v>
      </c>
      <c r="M127" s="2">
        <f>UL_OH!R26*4.22</f>
        <v>4.4145527992940483</v>
      </c>
      <c r="N127" s="5">
        <f>AVERAGE(J127:M127)</f>
        <v>4.4145527992940483</v>
      </c>
      <c r="O127" s="5" t="e">
        <f>SQRT(VAR(J127:M127))</f>
        <v>#DIV/0!</v>
      </c>
      <c r="P127" s="3">
        <f>COUNT(J127:M127)</f>
        <v>1</v>
      </c>
      <c r="S127" s="244"/>
      <c r="W127" s="2">
        <f>UL_OH!R26*3.399</f>
        <v>3.5557025982939505</v>
      </c>
      <c r="Y127" s="5">
        <f>AVERAGE(T127:X127)</f>
        <v>3.5557025982939505</v>
      </c>
      <c r="Z127" s="3" t="e">
        <f>SQRT(VAR(T127:X127))</f>
        <v>#DIV/0!</v>
      </c>
      <c r="AA127" s="3">
        <f t="shared" ref="AA127:AA128" si="51">COUNT(T127:X127)</f>
        <v>1</v>
      </c>
    </row>
    <row r="128" spans="1:27">
      <c r="A128" s="30"/>
      <c r="H128" s="11"/>
      <c r="I128" s="11"/>
      <c r="J128" s="20"/>
      <c r="K128" s="20"/>
      <c r="L128" s="20"/>
      <c r="M128" s="31" t="s">
        <v>165</v>
      </c>
      <c r="N128" s="27"/>
      <c r="O128" s="27"/>
      <c r="P128" s="11"/>
      <c r="S128" s="244"/>
      <c r="T128" s="20"/>
      <c r="U128" s="20"/>
      <c r="V128" s="20"/>
      <c r="W128" s="31" t="s">
        <v>165</v>
      </c>
      <c r="X128" s="20"/>
      <c r="Y128" s="27" t="e">
        <f>AVERAGE(T128:X128)</f>
        <v>#DIV/0!</v>
      </c>
      <c r="Z128" s="11" t="e">
        <f>SQRT(VAR(T128:X128))</f>
        <v>#DIV/0!</v>
      </c>
      <c r="AA128" s="11">
        <f t="shared" si="51"/>
        <v>0</v>
      </c>
    </row>
    <row r="129" spans="1:25">
      <c r="A129" s="30"/>
      <c r="N129" s="5"/>
      <c r="S129" s="244"/>
      <c r="Y129" s="5"/>
    </row>
    <row r="130" spans="1:25">
      <c r="N130" s="5"/>
      <c r="Y130" s="5"/>
    </row>
    <row r="131" spans="1:25">
      <c r="N131" s="5"/>
      <c r="Y131" s="5"/>
    </row>
    <row r="132" spans="1:25">
      <c r="N132" s="5"/>
      <c r="Y132" s="5"/>
    </row>
    <row r="133" spans="1:25">
      <c r="N133" s="5"/>
      <c r="Y133" s="5"/>
    </row>
    <row r="134" spans="1:25">
      <c r="N134" s="5"/>
      <c r="Y134" s="5"/>
    </row>
    <row r="135" spans="1:25">
      <c r="N135" s="5"/>
      <c r="Y135" s="5"/>
    </row>
    <row r="136" spans="1:25">
      <c r="N136" s="5"/>
      <c r="Y136" s="5"/>
    </row>
    <row r="137" spans="1:25">
      <c r="N137" s="5"/>
      <c r="Y137" s="5"/>
    </row>
    <row r="138" spans="1:25">
      <c r="N138" s="5"/>
      <c r="Y138" s="5"/>
    </row>
    <row r="139" spans="1:25">
      <c r="N139" s="5"/>
      <c r="Y139" s="5"/>
    </row>
    <row r="140" spans="1:25">
      <c r="N140" s="5"/>
      <c r="Y140" s="5"/>
    </row>
    <row r="141" spans="1:25">
      <c r="N141" s="5"/>
      <c r="Y141" s="5"/>
    </row>
    <row r="142" spans="1:25">
      <c r="N142" s="5"/>
      <c r="Y142" s="5"/>
    </row>
    <row r="143" spans="1:25">
      <c r="N143" s="5"/>
      <c r="Y143" s="5"/>
    </row>
    <row r="144" spans="1:25">
      <c r="N144" s="5"/>
      <c r="Y144" s="5"/>
    </row>
    <row r="145" spans="14:25">
      <c r="N145" s="5"/>
      <c r="Y145" s="5"/>
    </row>
    <row r="146" spans="14:25">
      <c r="N146" s="5"/>
      <c r="Y146" s="5"/>
    </row>
    <row r="147" spans="14:25">
      <c r="N147" s="5"/>
      <c r="Y147" s="5"/>
    </row>
    <row r="148" spans="14:25">
      <c r="N148" s="5"/>
      <c r="Y148" s="5"/>
    </row>
    <row r="149" spans="14:25">
      <c r="N149" s="5"/>
      <c r="Y149" s="5"/>
    </row>
    <row r="150" spans="14:25">
      <c r="N150" s="5"/>
      <c r="Y150" s="5"/>
    </row>
    <row r="151" spans="14:25">
      <c r="N151" s="5"/>
      <c r="Y151" s="5"/>
    </row>
    <row r="152" spans="14:25">
      <c r="N152" s="5"/>
      <c r="Y152" s="5"/>
    </row>
    <row r="153" spans="14:25">
      <c r="N153" s="5"/>
      <c r="Y153" s="5"/>
    </row>
    <row r="154" spans="14:25">
      <c r="N154" s="5"/>
      <c r="Y154" s="5"/>
    </row>
    <row r="155" spans="14:25">
      <c r="N155" s="5"/>
      <c r="Y155" s="5"/>
    </row>
    <row r="156" spans="14:25">
      <c r="N156" s="5"/>
      <c r="Y156" s="5"/>
    </row>
    <row r="157" spans="14:25">
      <c r="N157" s="5"/>
      <c r="Y157" s="5"/>
    </row>
    <row r="158" spans="14:25">
      <c r="N158" s="5"/>
      <c r="Y158" s="5"/>
    </row>
    <row r="159" spans="14:25">
      <c r="N159" s="5"/>
      <c r="Y159" s="5"/>
    </row>
    <row r="160" spans="14:25">
      <c r="N160" s="5"/>
      <c r="Y160" s="5"/>
    </row>
    <row r="161" spans="1:27">
      <c r="N161" s="5"/>
      <c r="Y161" s="5"/>
    </row>
    <row r="162" spans="1:27">
      <c r="N162" s="5"/>
      <c r="Y162" s="5"/>
    </row>
    <row r="163" spans="1:27">
      <c r="N163" s="5"/>
      <c r="Y163" s="5"/>
    </row>
    <row r="164" spans="1:27">
      <c r="N164" s="5"/>
      <c r="Y164" s="5"/>
    </row>
    <row r="165" spans="1:27">
      <c r="N165" s="5"/>
      <c r="Y165" s="5"/>
    </row>
    <row r="166" spans="1:27">
      <c r="N166" s="5"/>
      <c r="Y166" s="5"/>
    </row>
    <row r="167" spans="1:27">
      <c r="N167" s="5"/>
      <c r="Y167" s="5"/>
    </row>
    <row r="169" spans="1:27" s="2" customFormat="1">
      <c r="A169" s="3"/>
      <c r="B169" s="3"/>
      <c r="C169" s="3"/>
      <c r="D169" s="3"/>
      <c r="E169" s="3"/>
      <c r="F169" s="3"/>
      <c r="G169" s="4"/>
      <c r="H169" s="3"/>
      <c r="I169" s="3"/>
      <c r="N169" s="3"/>
      <c r="O169" s="5"/>
      <c r="P169" s="3"/>
      <c r="Q169" s="3"/>
      <c r="R169" s="3"/>
      <c r="S169" s="3"/>
      <c r="Y169" s="3"/>
      <c r="Z169" s="3"/>
      <c r="AA169" s="3"/>
    </row>
    <row r="170" spans="1:27" s="2" customFormat="1">
      <c r="A170" s="3"/>
      <c r="B170" s="3"/>
      <c r="C170" s="3"/>
      <c r="D170" s="3"/>
      <c r="E170" s="3"/>
      <c r="F170" s="3"/>
      <c r="G170" s="4"/>
      <c r="H170" s="3"/>
      <c r="I170" s="3"/>
      <c r="N170" s="3"/>
      <c r="O170" s="5"/>
      <c r="P170" s="3"/>
      <c r="Q170" s="3"/>
      <c r="R170" s="3"/>
      <c r="S170" s="3"/>
      <c r="Y170" s="3"/>
      <c r="Z170" s="3"/>
      <c r="AA170" s="3"/>
    </row>
    <row r="171" spans="1:27" s="2" customFormat="1">
      <c r="A171" s="3"/>
      <c r="B171" s="3"/>
      <c r="C171" s="3"/>
      <c r="D171" s="3"/>
      <c r="E171" s="3"/>
      <c r="F171" s="3"/>
      <c r="G171" s="4"/>
      <c r="H171" s="3"/>
      <c r="I171" s="3"/>
      <c r="N171" s="3"/>
      <c r="O171" s="5"/>
      <c r="P171" s="3"/>
      <c r="Q171" s="3"/>
      <c r="R171" s="3"/>
      <c r="S171" s="3"/>
      <c r="Y171" s="3"/>
      <c r="Z171" s="3"/>
      <c r="AA171" s="3"/>
    </row>
    <row r="172" spans="1:27" s="2" customFormat="1">
      <c r="A172" s="3"/>
      <c r="B172" s="3"/>
      <c r="C172" s="3"/>
      <c r="D172" s="3"/>
      <c r="E172" s="3"/>
      <c r="F172" s="3"/>
      <c r="G172" s="4"/>
      <c r="H172" s="3"/>
      <c r="I172" s="3"/>
      <c r="N172" s="3"/>
      <c r="O172" s="5"/>
      <c r="P172" s="3"/>
      <c r="Q172" s="3"/>
      <c r="R172" s="3"/>
      <c r="S172" s="3"/>
      <c r="Y172" s="3"/>
      <c r="Z172" s="3"/>
      <c r="AA172" s="3"/>
    </row>
    <row r="173" spans="1:27" s="2" customFormat="1">
      <c r="A173" s="3"/>
      <c r="B173" s="3"/>
      <c r="C173" s="3"/>
      <c r="D173" s="3"/>
      <c r="E173" s="3"/>
      <c r="F173" s="3"/>
      <c r="G173" s="4"/>
      <c r="H173" s="3"/>
      <c r="I173" s="3"/>
      <c r="N173" s="3"/>
      <c r="O173" s="5"/>
      <c r="P173" s="3"/>
      <c r="Q173" s="3"/>
      <c r="R173" s="3"/>
      <c r="S173" s="3"/>
      <c r="Y173" s="3"/>
      <c r="Z173" s="3"/>
      <c r="AA173" s="3"/>
    </row>
    <row r="174" spans="1:27" s="2" customFormat="1">
      <c r="A174" s="3"/>
      <c r="B174" s="3"/>
      <c r="C174" s="3"/>
      <c r="D174" s="3"/>
      <c r="E174" s="3"/>
      <c r="F174" s="3"/>
      <c r="G174" s="4"/>
      <c r="H174" s="3"/>
      <c r="I174" s="3"/>
      <c r="N174" s="3"/>
      <c r="O174" s="5"/>
      <c r="P174" s="3"/>
      <c r="Q174" s="3"/>
      <c r="R174" s="3"/>
      <c r="S174" s="3"/>
      <c r="Y174" s="3"/>
      <c r="Z174" s="3"/>
      <c r="AA174" s="3"/>
    </row>
    <row r="175" spans="1:27" s="2" customFormat="1">
      <c r="A175" s="3"/>
      <c r="B175" s="3"/>
      <c r="C175" s="3"/>
      <c r="D175" s="3"/>
      <c r="E175" s="3"/>
      <c r="F175" s="3"/>
      <c r="G175" s="4"/>
      <c r="H175" s="3"/>
      <c r="I175" s="3"/>
      <c r="N175" s="3"/>
      <c r="O175" s="5"/>
      <c r="P175" s="3"/>
      <c r="Q175" s="3"/>
      <c r="R175" s="3"/>
      <c r="S175" s="3"/>
      <c r="Y175" s="3"/>
      <c r="Z175" s="3"/>
      <c r="AA175" s="3"/>
    </row>
    <row r="176" spans="1:27" s="2" customFormat="1">
      <c r="A176" s="3"/>
      <c r="B176" s="3"/>
      <c r="C176" s="3"/>
      <c r="D176" s="3"/>
      <c r="E176" s="3"/>
      <c r="F176" s="3"/>
      <c r="G176" s="4"/>
      <c r="H176" s="3"/>
      <c r="I176" s="3"/>
      <c r="N176" s="3"/>
      <c r="O176" s="5"/>
      <c r="P176" s="3"/>
      <c r="Q176" s="3"/>
      <c r="R176" s="3"/>
      <c r="S176" s="3"/>
      <c r="Y176" s="3"/>
      <c r="Z176" s="3"/>
      <c r="AA176" s="3"/>
    </row>
    <row r="177" spans="1:27" s="2" customFormat="1">
      <c r="A177" s="3"/>
      <c r="B177" s="3"/>
      <c r="C177" s="3"/>
      <c r="D177" s="3"/>
      <c r="E177" s="3"/>
      <c r="F177" s="3"/>
      <c r="G177" s="4"/>
      <c r="H177" s="3"/>
      <c r="I177" s="3"/>
      <c r="N177" s="3"/>
      <c r="O177" s="5"/>
      <c r="P177" s="3"/>
      <c r="Q177" s="3"/>
      <c r="R177" s="3"/>
      <c r="S177" s="3"/>
      <c r="Y177" s="3"/>
      <c r="Z177" s="3"/>
      <c r="AA177" s="3"/>
    </row>
    <row r="178" spans="1:27" s="2" customFormat="1">
      <c r="A178" s="3"/>
      <c r="B178" s="3"/>
      <c r="C178" s="3"/>
      <c r="D178" s="3"/>
      <c r="E178" s="3"/>
      <c r="F178" s="3"/>
      <c r="G178" s="4"/>
      <c r="H178" s="3"/>
      <c r="I178" s="3"/>
      <c r="N178" s="3"/>
      <c r="O178" s="5"/>
      <c r="P178" s="3"/>
      <c r="Q178" s="3"/>
      <c r="R178" s="3"/>
      <c r="S178" s="3"/>
      <c r="Y178" s="3"/>
      <c r="Z178" s="3"/>
      <c r="AA178" s="3"/>
    </row>
    <row r="179" spans="1:27" s="2" customFormat="1">
      <c r="A179" s="3"/>
      <c r="B179" s="3"/>
      <c r="C179" s="3"/>
      <c r="D179" s="3"/>
      <c r="E179" s="3"/>
      <c r="F179" s="3"/>
      <c r="G179" s="4"/>
      <c r="H179" s="3"/>
      <c r="I179" s="3"/>
      <c r="N179" s="3"/>
      <c r="O179" s="5"/>
      <c r="P179" s="3"/>
      <c r="Q179" s="3"/>
      <c r="R179" s="3"/>
      <c r="S179" s="3"/>
      <c r="Y179" s="3"/>
      <c r="Z179" s="3"/>
      <c r="AA179" s="3"/>
    </row>
    <row r="180" spans="1:27" s="2" customFormat="1">
      <c r="A180" s="3"/>
      <c r="B180" s="3"/>
      <c r="C180" s="3"/>
      <c r="D180" s="3"/>
      <c r="E180" s="3"/>
      <c r="F180" s="3"/>
      <c r="G180" s="4"/>
      <c r="H180" s="3"/>
      <c r="I180" s="3"/>
      <c r="N180" s="3"/>
      <c r="O180" s="5"/>
      <c r="P180" s="3"/>
      <c r="Q180" s="3"/>
      <c r="R180" s="3"/>
      <c r="S180" s="3"/>
      <c r="Y180" s="3"/>
      <c r="Z180" s="3"/>
      <c r="AA180" s="3"/>
    </row>
    <row r="181" spans="1:27" s="2" customFormat="1">
      <c r="A181" s="3"/>
      <c r="B181" s="3"/>
      <c r="C181" s="3"/>
      <c r="D181" s="3"/>
      <c r="E181" s="3"/>
      <c r="F181" s="3"/>
      <c r="G181" s="4"/>
      <c r="H181" s="3"/>
      <c r="I181" s="3"/>
      <c r="N181" s="3"/>
      <c r="O181" s="5"/>
      <c r="P181" s="3"/>
      <c r="Q181" s="3"/>
      <c r="R181" s="3"/>
      <c r="S181" s="3"/>
      <c r="Y181" s="3"/>
      <c r="Z181" s="3"/>
      <c r="AA181" s="3"/>
    </row>
    <row r="182" spans="1:27" s="2" customFormat="1">
      <c r="A182" s="3"/>
      <c r="B182" s="3"/>
      <c r="C182" s="3"/>
      <c r="D182" s="3"/>
      <c r="E182" s="3"/>
      <c r="F182" s="3"/>
      <c r="G182" s="4"/>
      <c r="H182" s="3"/>
      <c r="I182" s="3"/>
      <c r="N182" s="3"/>
      <c r="O182" s="5"/>
      <c r="P182" s="3"/>
      <c r="Q182" s="3"/>
      <c r="R182" s="3"/>
      <c r="S182" s="3"/>
      <c r="Y182" s="3"/>
      <c r="Z182" s="3"/>
      <c r="AA182" s="3"/>
    </row>
    <row r="183" spans="1:27" s="2" customFormat="1">
      <c r="A183" s="3"/>
      <c r="B183" s="3"/>
      <c r="C183" s="3"/>
      <c r="D183" s="3"/>
      <c r="E183" s="3"/>
      <c r="F183" s="3"/>
      <c r="G183" s="4"/>
      <c r="H183" s="3"/>
      <c r="I183" s="3"/>
      <c r="N183" s="3"/>
      <c r="O183" s="5"/>
      <c r="P183" s="3"/>
      <c r="Q183" s="3"/>
      <c r="R183" s="3"/>
      <c r="S183" s="3"/>
      <c r="Y183" s="3"/>
      <c r="Z183" s="3"/>
      <c r="AA183" s="3"/>
    </row>
    <row r="184" spans="1:27" s="2" customFormat="1">
      <c r="A184" s="3"/>
      <c r="B184" s="3"/>
      <c r="C184" s="3"/>
      <c r="D184" s="3"/>
      <c r="E184" s="3"/>
      <c r="F184" s="3"/>
      <c r="G184" s="4"/>
      <c r="H184" s="3"/>
      <c r="I184" s="3"/>
      <c r="N184" s="3"/>
      <c r="O184" s="5"/>
      <c r="P184" s="3"/>
      <c r="Q184" s="3"/>
      <c r="R184" s="3"/>
      <c r="S184" s="3"/>
      <c r="Y184" s="3"/>
      <c r="Z184" s="3"/>
      <c r="AA184" s="3"/>
    </row>
    <row r="185" spans="1:27" s="2" customFormat="1">
      <c r="A185" s="3"/>
      <c r="B185" s="3"/>
      <c r="C185" s="3"/>
      <c r="D185" s="3"/>
      <c r="E185" s="3"/>
      <c r="F185" s="3"/>
      <c r="G185" s="4"/>
      <c r="H185" s="3"/>
      <c r="I185" s="3"/>
      <c r="N185" s="3"/>
      <c r="O185" s="5"/>
      <c r="P185" s="3"/>
      <c r="Q185" s="3"/>
      <c r="R185" s="3"/>
      <c r="S185" s="3"/>
      <c r="Y185" s="3"/>
      <c r="Z185" s="3"/>
      <c r="AA185" s="3"/>
    </row>
    <row r="186" spans="1:27" s="2" customFormat="1">
      <c r="A186" s="3"/>
      <c r="B186" s="3"/>
      <c r="C186" s="3"/>
      <c r="D186" s="3"/>
      <c r="E186" s="3"/>
      <c r="F186" s="3"/>
      <c r="G186" s="4"/>
      <c r="H186" s="3"/>
      <c r="I186" s="3"/>
      <c r="N186" s="3"/>
      <c r="O186" s="5"/>
      <c r="P186" s="3"/>
      <c r="Q186" s="3"/>
      <c r="R186" s="3"/>
      <c r="S186" s="3"/>
      <c r="Y186" s="3"/>
      <c r="Z186" s="3"/>
      <c r="AA186" s="3"/>
    </row>
    <row r="187" spans="1:27" s="2" customFormat="1">
      <c r="A187" s="3"/>
      <c r="B187" s="3"/>
      <c r="C187" s="3"/>
      <c r="D187" s="3"/>
      <c r="E187" s="3"/>
      <c r="F187" s="3"/>
      <c r="G187" s="4"/>
      <c r="H187" s="3"/>
      <c r="I187" s="3"/>
      <c r="N187" s="3"/>
      <c r="O187" s="5"/>
      <c r="P187" s="3"/>
      <c r="Q187" s="3"/>
      <c r="R187" s="3"/>
      <c r="S187" s="3"/>
      <c r="Y187" s="3"/>
      <c r="Z187" s="3"/>
      <c r="AA187" s="3"/>
    </row>
    <row r="188" spans="1:27" s="2" customFormat="1">
      <c r="A188" s="3"/>
      <c r="B188" s="3"/>
      <c r="C188" s="3"/>
      <c r="D188" s="3"/>
      <c r="E188" s="3"/>
      <c r="F188" s="3"/>
      <c r="G188" s="4"/>
      <c r="H188" s="3"/>
      <c r="I188" s="3"/>
      <c r="N188" s="3"/>
      <c r="O188" s="5"/>
      <c r="P188" s="3"/>
      <c r="Q188" s="3"/>
      <c r="R188" s="3"/>
      <c r="S188" s="3"/>
      <c r="Y188" s="3"/>
      <c r="Z188" s="3"/>
      <c r="AA188" s="3"/>
    </row>
    <row r="189" spans="1:27" s="2" customFormat="1">
      <c r="A189" s="3"/>
      <c r="B189" s="3"/>
      <c r="C189" s="3"/>
      <c r="D189" s="3"/>
      <c r="E189" s="3"/>
      <c r="F189" s="3"/>
      <c r="G189" s="4"/>
      <c r="H189" s="3"/>
      <c r="I189" s="3"/>
      <c r="N189" s="3"/>
      <c r="O189" s="5"/>
      <c r="P189" s="3"/>
      <c r="Q189" s="3"/>
      <c r="R189" s="3"/>
      <c r="S189" s="3"/>
      <c r="Y189" s="3"/>
      <c r="Z189" s="3"/>
      <c r="AA189" s="3"/>
    </row>
    <row r="190" spans="1:27" s="2" customFormat="1">
      <c r="A190" s="3"/>
      <c r="B190" s="3"/>
      <c r="C190" s="3"/>
      <c r="D190" s="3"/>
      <c r="E190" s="3"/>
      <c r="F190" s="3"/>
      <c r="G190" s="4"/>
      <c r="H190" s="3"/>
      <c r="I190" s="3"/>
      <c r="N190" s="3"/>
      <c r="O190" s="5"/>
      <c r="P190" s="3"/>
      <c r="Q190" s="3"/>
      <c r="R190" s="3"/>
      <c r="S190" s="3"/>
      <c r="Y190" s="3"/>
      <c r="Z190" s="3"/>
      <c r="AA190" s="3"/>
    </row>
    <row r="191" spans="1:27" s="2" customFormat="1">
      <c r="A191" s="3"/>
      <c r="B191" s="3"/>
      <c r="C191" s="3"/>
      <c r="D191" s="3"/>
      <c r="E191" s="3"/>
      <c r="F191" s="3"/>
      <c r="G191" s="4"/>
      <c r="H191" s="3"/>
      <c r="I191" s="3"/>
      <c r="N191" s="3"/>
      <c r="O191" s="5"/>
      <c r="P191" s="3"/>
      <c r="Q191" s="3"/>
      <c r="R191" s="3"/>
      <c r="S191" s="3"/>
      <c r="Y191" s="3"/>
      <c r="Z191" s="3"/>
      <c r="AA191" s="3"/>
    </row>
    <row r="192" spans="1:27" s="2" customFormat="1">
      <c r="A192" s="3"/>
      <c r="B192" s="3"/>
      <c r="C192" s="3"/>
      <c r="D192" s="3"/>
      <c r="E192" s="3"/>
      <c r="F192" s="3"/>
      <c r="G192" s="4"/>
      <c r="H192" s="3"/>
      <c r="I192" s="3"/>
      <c r="N192" s="3"/>
      <c r="O192" s="5"/>
      <c r="P192" s="3"/>
      <c r="Q192" s="3"/>
      <c r="R192" s="3"/>
      <c r="S192" s="3"/>
      <c r="Y192" s="3"/>
      <c r="Z192" s="3"/>
      <c r="AA192" s="3"/>
    </row>
    <row r="193" spans="1:27" s="2" customFormat="1">
      <c r="A193" s="3"/>
      <c r="B193" s="3"/>
      <c r="C193" s="3"/>
      <c r="D193" s="3"/>
      <c r="E193" s="3"/>
      <c r="F193" s="3"/>
      <c r="G193" s="4"/>
      <c r="H193" s="3"/>
      <c r="I193" s="3"/>
      <c r="N193" s="3"/>
      <c r="O193" s="5"/>
      <c r="P193" s="3"/>
      <c r="Q193" s="3"/>
      <c r="R193" s="3"/>
      <c r="S193" s="3"/>
      <c r="Y193" s="3"/>
      <c r="Z193" s="3"/>
      <c r="AA193" s="3"/>
    </row>
    <row r="194" spans="1:27" s="2" customFormat="1">
      <c r="A194" s="3"/>
      <c r="B194" s="3"/>
      <c r="C194" s="3"/>
      <c r="D194" s="3"/>
      <c r="E194" s="3"/>
      <c r="F194" s="3"/>
      <c r="G194" s="4"/>
      <c r="H194" s="3"/>
      <c r="I194" s="3"/>
      <c r="N194" s="3"/>
      <c r="O194" s="5"/>
      <c r="P194" s="3"/>
      <c r="Q194" s="3"/>
      <c r="R194" s="3"/>
      <c r="S194" s="3"/>
      <c r="Y194" s="3"/>
      <c r="Z194" s="3"/>
      <c r="AA194" s="3"/>
    </row>
    <row r="195" spans="1:27" s="2" customFormat="1">
      <c r="A195" s="3"/>
      <c r="B195" s="3"/>
      <c r="C195" s="3"/>
      <c r="D195" s="3"/>
      <c r="E195" s="3"/>
      <c r="F195" s="3"/>
      <c r="G195" s="4"/>
      <c r="H195" s="3"/>
      <c r="I195" s="3"/>
      <c r="N195" s="3"/>
      <c r="O195" s="5"/>
      <c r="P195" s="3"/>
      <c r="Q195" s="3"/>
      <c r="R195" s="3"/>
      <c r="S195" s="3"/>
      <c r="Y195" s="3"/>
      <c r="Z195" s="3"/>
      <c r="AA195" s="3"/>
    </row>
    <row r="196" spans="1:27" s="2" customFormat="1">
      <c r="A196" s="3"/>
      <c r="B196" s="3"/>
      <c r="C196" s="3"/>
      <c r="D196" s="3"/>
      <c r="E196" s="3"/>
      <c r="F196" s="3"/>
      <c r="G196" s="4"/>
      <c r="H196" s="3"/>
      <c r="I196" s="3"/>
      <c r="N196" s="3"/>
      <c r="O196" s="5"/>
      <c r="P196" s="3"/>
      <c r="Q196" s="3"/>
      <c r="R196" s="3"/>
      <c r="S196" s="3"/>
      <c r="Y196" s="3"/>
      <c r="Z196" s="3"/>
      <c r="AA196" s="3"/>
    </row>
    <row r="197" spans="1:27" s="2" customFormat="1">
      <c r="A197" s="3"/>
      <c r="B197" s="3"/>
      <c r="C197" s="3"/>
      <c r="D197" s="3"/>
      <c r="E197" s="3"/>
      <c r="F197" s="3"/>
      <c r="G197" s="4"/>
      <c r="H197" s="3"/>
      <c r="I197" s="3"/>
      <c r="N197" s="3"/>
      <c r="O197" s="5"/>
      <c r="P197" s="3"/>
      <c r="Q197" s="3"/>
      <c r="R197" s="3"/>
      <c r="S197" s="3"/>
      <c r="Y197" s="3"/>
      <c r="Z197" s="3"/>
      <c r="AA197" s="3"/>
    </row>
    <row r="198" spans="1:27" s="2" customFormat="1">
      <c r="A198" s="3"/>
      <c r="B198" s="3"/>
      <c r="C198" s="3"/>
      <c r="D198" s="3"/>
      <c r="E198" s="3"/>
      <c r="F198" s="3"/>
      <c r="G198" s="4"/>
      <c r="H198" s="3"/>
      <c r="I198" s="3"/>
      <c r="N198" s="3"/>
      <c r="O198" s="5"/>
      <c r="P198" s="3"/>
      <c r="Q198" s="3"/>
      <c r="R198" s="3"/>
      <c r="S198" s="3"/>
      <c r="Y198" s="3"/>
      <c r="Z198" s="3"/>
      <c r="AA198" s="3"/>
    </row>
    <row r="199" spans="1:27" s="2" customFormat="1">
      <c r="A199" s="3"/>
      <c r="B199" s="3"/>
      <c r="C199" s="3"/>
      <c r="D199" s="3"/>
      <c r="E199" s="3"/>
      <c r="F199" s="3"/>
      <c r="G199" s="4"/>
      <c r="H199" s="3"/>
      <c r="I199" s="3"/>
      <c r="N199" s="3"/>
      <c r="O199" s="5"/>
      <c r="P199" s="3"/>
      <c r="Q199" s="3"/>
      <c r="R199" s="3"/>
      <c r="S199" s="3"/>
      <c r="Y199" s="3"/>
      <c r="Z199" s="3"/>
      <c r="AA199" s="3"/>
    </row>
    <row r="200" spans="1:27" s="2" customFormat="1">
      <c r="A200" s="3"/>
      <c r="B200" s="3"/>
      <c r="C200" s="3"/>
      <c r="D200" s="3"/>
      <c r="E200" s="3"/>
      <c r="F200" s="3"/>
      <c r="G200" s="4"/>
      <c r="H200" s="3"/>
      <c r="I200" s="3"/>
      <c r="N200" s="3"/>
      <c r="O200" s="5"/>
      <c r="P200" s="3"/>
      <c r="Q200" s="3"/>
      <c r="R200" s="3"/>
      <c r="S200" s="3"/>
      <c r="Y200" s="3"/>
      <c r="Z200" s="3"/>
      <c r="AA200" s="3"/>
    </row>
    <row r="201" spans="1:27" s="2" customFormat="1">
      <c r="A201" s="3"/>
      <c r="B201" s="3"/>
      <c r="C201" s="3"/>
      <c r="D201" s="3"/>
      <c r="E201" s="3"/>
      <c r="F201" s="3"/>
      <c r="G201" s="4"/>
      <c r="H201" s="3"/>
      <c r="I201" s="3"/>
      <c r="N201" s="3"/>
      <c r="O201" s="5"/>
      <c r="P201" s="3"/>
      <c r="Q201" s="3"/>
      <c r="R201" s="3"/>
      <c r="S201" s="3"/>
      <c r="Y201" s="3"/>
      <c r="Z201" s="3"/>
      <c r="AA201" s="3"/>
    </row>
    <row r="202" spans="1:27" s="2" customFormat="1">
      <c r="A202" s="3"/>
      <c r="B202" s="3"/>
      <c r="C202" s="3"/>
      <c r="D202" s="3"/>
      <c r="E202" s="3"/>
      <c r="F202" s="3"/>
      <c r="G202" s="4"/>
      <c r="H202" s="3"/>
      <c r="I202" s="3"/>
      <c r="N202" s="3"/>
      <c r="O202" s="5"/>
      <c r="P202" s="3"/>
      <c r="Q202" s="3"/>
      <c r="R202" s="3"/>
      <c r="S202" s="3"/>
      <c r="Y202" s="3"/>
      <c r="Z202" s="3"/>
      <c r="AA202" s="3"/>
    </row>
    <row r="203" spans="1:27" s="2" customFormat="1">
      <c r="A203" s="3"/>
      <c r="B203" s="3"/>
      <c r="C203" s="3"/>
      <c r="D203" s="3"/>
      <c r="E203" s="3"/>
      <c r="F203" s="3"/>
      <c r="G203" s="4"/>
      <c r="H203" s="3"/>
      <c r="I203" s="3"/>
      <c r="N203" s="3"/>
      <c r="O203" s="5"/>
      <c r="P203" s="3"/>
      <c r="Q203" s="3"/>
      <c r="R203" s="3"/>
      <c r="S203" s="3"/>
      <c r="Y203" s="3"/>
      <c r="Z203" s="3"/>
      <c r="AA203" s="3"/>
    </row>
    <row r="204" spans="1:27" s="2" customFormat="1">
      <c r="A204" s="3"/>
      <c r="B204" s="3"/>
      <c r="C204" s="3"/>
      <c r="D204" s="3"/>
      <c r="E204" s="3"/>
      <c r="F204" s="3"/>
      <c r="G204" s="4"/>
      <c r="H204" s="3"/>
      <c r="I204" s="3"/>
      <c r="N204" s="3"/>
      <c r="O204" s="5"/>
      <c r="P204" s="3"/>
      <c r="Q204" s="3"/>
      <c r="R204" s="3"/>
      <c r="S204" s="3"/>
      <c r="Y204" s="3"/>
      <c r="Z204" s="3"/>
      <c r="AA204" s="3"/>
    </row>
    <row r="205" spans="1:27" s="2" customFormat="1">
      <c r="A205" s="3"/>
      <c r="B205" s="3"/>
      <c r="C205" s="3"/>
      <c r="D205" s="3"/>
      <c r="E205" s="3"/>
      <c r="F205" s="3"/>
      <c r="G205" s="4"/>
      <c r="H205" s="3"/>
      <c r="I205" s="3"/>
      <c r="N205" s="3"/>
      <c r="O205" s="5"/>
      <c r="P205" s="3"/>
      <c r="Q205" s="3"/>
      <c r="R205" s="3"/>
      <c r="S205" s="3"/>
      <c r="Y205" s="3"/>
      <c r="Z205" s="3"/>
      <c r="AA205" s="3"/>
    </row>
    <row r="206" spans="1:27" s="2" customFormat="1">
      <c r="A206" s="3"/>
      <c r="B206" s="3"/>
      <c r="C206" s="3"/>
      <c r="D206" s="3"/>
      <c r="E206" s="3"/>
      <c r="F206" s="3"/>
      <c r="G206" s="4"/>
      <c r="H206" s="3"/>
      <c r="I206" s="3"/>
      <c r="N206" s="3"/>
      <c r="O206" s="5"/>
      <c r="P206" s="3"/>
      <c r="Q206" s="3"/>
      <c r="R206" s="3"/>
      <c r="S206" s="3"/>
      <c r="Y206" s="3"/>
      <c r="Z206" s="3"/>
      <c r="AA206" s="3"/>
    </row>
    <row r="207" spans="1:27" s="2" customFormat="1">
      <c r="A207" s="3"/>
      <c r="B207" s="3"/>
      <c r="C207" s="3"/>
      <c r="D207" s="3"/>
      <c r="E207" s="3"/>
      <c r="F207" s="3"/>
      <c r="G207" s="4"/>
      <c r="H207" s="3"/>
      <c r="I207" s="3"/>
      <c r="N207" s="3"/>
      <c r="O207" s="5"/>
      <c r="P207" s="3"/>
      <c r="Q207" s="3"/>
      <c r="R207" s="3"/>
      <c r="S207" s="3"/>
      <c r="Y207" s="3"/>
      <c r="Z207" s="3"/>
      <c r="AA207" s="3"/>
    </row>
    <row r="208" spans="1:27" s="2" customFormat="1">
      <c r="A208" s="3"/>
      <c r="B208" s="3"/>
      <c r="C208" s="3"/>
      <c r="D208" s="3"/>
      <c r="E208" s="3"/>
      <c r="F208" s="3"/>
      <c r="G208" s="4"/>
      <c r="H208" s="3"/>
      <c r="I208" s="3"/>
      <c r="N208" s="3"/>
      <c r="O208" s="5"/>
      <c r="P208" s="3"/>
      <c r="Q208" s="3"/>
      <c r="R208" s="3"/>
      <c r="S208" s="3"/>
      <c r="Y208" s="3"/>
      <c r="Z208" s="3"/>
      <c r="AA208" s="3"/>
    </row>
    <row r="209" spans="1:27" s="2" customFormat="1">
      <c r="A209" s="3"/>
      <c r="B209" s="3"/>
      <c r="C209" s="3"/>
      <c r="D209" s="3"/>
      <c r="E209" s="3"/>
      <c r="F209" s="3"/>
      <c r="G209" s="4"/>
      <c r="H209" s="3"/>
      <c r="I209" s="3"/>
      <c r="N209" s="3"/>
      <c r="O209" s="5"/>
      <c r="P209" s="3"/>
      <c r="Q209" s="3"/>
      <c r="R209" s="3"/>
      <c r="S209" s="3"/>
      <c r="Y209" s="3"/>
      <c r="Z209" s="3"/>
      <c r="AA209" s="3"/>
    </row>
    <row r="210" spans="1:27" s="2" customFormat="1">
      <c r="A210" s="3"/>
      <c r="B210" s="3"/>
      <c r="C210" s="3"/>
      <c r="D210" s="3"/>
      <c r="E210" s="3"/>
      <c r="F210" s="3"/>
      <c r="G210" s="4"/>
      <c r="H210" s="3"/>
      <c r="I210" s="3"/>
      <c r="N210" s="3"/>
      <c r="O210" s="5"/>
      <c r="P210" s="3"/>
      <c r="Q210" s="3"/>
      <c r="R210" s="3"/>
      <c r="S210" s="3"/>
      <c r="Y210" s="3"/>
      <c r="Z210" s="3"/>
      <c r="AA210" s="3"/>
    </row>
    <row r="211" spans="1:27" s="2" customFormat="1">
      <c r="A211" s="3"/>
      <c r="B211" s="3"/>
      <c r="C211" s="3"/>
      <c r="D211" s="3"/>
      <c r="E211" s="3"/>
      <c r="F211" s="3"/>
      <c r="G211" s="4"/>
      <c r="H211" s="3"/>
      <c r="I211" s="3"/>
      <c r="N211" s="3"/>
      <c r="O211" s="5"/>
      <c r="P211" s="3"/>
      <c r="Q211" s="3"/>
      <c r="R211" s="3"/>
      <c r="S211" s="3"/>
      <c r="Y211" s="3"/>
      <c r="Z211" s="3"/>
      <c r="AA211" s="3"/>
    </row>
    <row r="212" spans="1:27" s="2" customFormat="1">
      <c r="A212" s="3"/>
      <c r="B212" s="3"/>
      <c r="C212" s="3"/>
      <c r="D212" s="3"/>
      <c r="E212" s="3"/>
      <c r="F212" s="3"/>
      <c r="G212" s="4"/>
      <c r="H212" s="3"/>
      <c r="I212" s="3"/>
      <c r="N212" s="3"/>
      <c r="O212" s="5"/>
      <c r="P212" s="3"/>
      <c r="Q212" s="3"/>
      <c r="R212" s="3"/>
      <c r="S212" s="3"/>
      <c r="Y212" s="3"/>
      <c r="Z212" s="3"/>
      <c r="AA212" s="3"/>
    </row>
    <row r="213" spans="1:27" s="2" customFormat="1">
      <c r="A213" s="3"/>
      <c r="B213" s="3"/>
      <c r="C213" s="3"/>
      <c r="D213" s="3"/>
      <c r="E213" s="3"/>
      <c r="F213" s="3"/>
      <c r="G213" s="4"/>
      <c r="H213" s="3"/>
      <c r="I213" s="3"/>
      <c r="N213" s="3"/>
      <c r="O213" s="5"/>
      <c r="P213" s="3"/>
      <c r="Q213" s="3"/>
      <c r="R213" s="3"/>
      <c r="S213" s="3"/>
      <c r="Y213" s="3"/>
      <c r="Z213" s="3"/>
      <c r="AA213" s="3"/>
    </row>
    <row r="214" spans="1:27" s="2" customFormat="1">
      <c r="A214" s="3"/>
      <c r="B214" s="3"/>
      <c r="C214" s="3"/>
      <c r="D214" s="3"/>
      <c r="E214" s="3"/>
      <c r="F214" s="3"/>
      <c r="G214" s="4"/>
      <c r="H214" s="3"/>
      <c r="I214" s="3"/>
      <c r="N214" s="3"/>
      <c r="O214" s="5"/>
      <c r="P214" s="3"/>
      <c r="Q214" s="3"/>
      <c r="R214" s="3"/>
      <c r="S214" s="3"/>
      <c r="Y214" s="3"/>
      <c r="Z214" s="3"/>
      <c r="AA214" s="3"/>
    </row>
    <row r="215" spans="1:27" s="2" customFormat="1">
      <c r="A215" s="3"/>
      <c r="B215" s="3"/>
      <c r="C215" s="3"/>
      <c r="D215" s="3"/>
      <c r="E215" s="3"/>
      <c r="F215" s="3"/>
      <c r="G215" s="4"/>
      <c r="H215" s="3"/>
      <c r="I215" s="3"/>
      <c r="N215" s="3"/>
      <c r="O215" s="5"/>
      <c r="P215" s="3"/>
      <c r="Q215" s="3"/>
      <c r="R215" s="3"/>
      <c r="S215" s="3"/>
      <c r="Y215" s="3"/>
      <c r="Z215" s="3"/>
      <c r="AA215" s="3"/>
    </row>
    <row r="216" spans="1:27" s="2" customFormat="1">
      <c r="A216" s="3"/>
      <c r="B216" s="3"/>
      <c r="C216" s="3"/>
      <c r="D216" s="3"/>
      <c r="E216" s="3"/>
      <c r="F216" s="3"/>
      <c r="G216" s="4"/>
      <c r="H216" s="3"/>
      <c r="I216" s="3"/>
      <c r="N216" s="3"/>
      <c r="O216" s="5"/>
      <c r="P216" s="3"/>
      <c r="Q216" s="3"/>
      <c r="R216" s="3"/>
      <c r="S216" s="3"/>
      <c r="Y216" s="3"/>
      <c r="Z216" s="3"/>
      <c r="AA216" s="3"/>
    </row>
    <row r="217" spans="1:27" s="2" customFormat="1">
      <c r="A217" s="3"/>
      <c r="B217" s="3"/>
      <c r="C217" s="3"/>
      <c r="D217" s="3"/>
      <c r="E217" s="3"/>
      <c r="F217" s="3"/>
      <c r="G217" s="4"/>
      <c r="H217" s="3"/>
      <c r="I217" s="3"/>
      <c r="N217" s="3"/>
      <c r="O217" s="5"/>
      <c r="P217" s="3"/>
      <c r="Q217" s="3"/>
      <c r="R217" s="3"/>
      <c r="S217" s="3"/>
      <c r="Y217" s="3"/>
      <c r="Z217" s="3"/>
      <c r="AA217" s="3"/>
    </row>
    <row r="218" spans="1:27" s="2" customFormat="1">
      <c r="A218" s="3"/>
      <c r="B218" s="3"/>
      <c r="C218" s="3"/>
      <c r="D218" s="3"/>
      <c r="E218" s="3"/>
      <c r="F218" s="3"/>
      <c r="G218" s="4"/>
      <c r="H218" s="3"/>
      <c r="I218" s="3"/>
      <c r="N218" s="3"/>
      <c r="O218" s="5"/>
      <c r="P218" s="3"/>
      <c r="Q218" s="3"/>
      <c r="R218" s="3"/>
      <c r="S218" s="3"/>
      <c r="Y218" s="3"/>
      <c r="Z218" s="3"/>
      <c r="AA218" s="3"/>
    </row>
    <row r="219" spans="1:27" s="2" customFormat="1">
      <c r="A219" s="3"/>
      <c r="B219" s="3"/>
      <c r="C219" s="3"/>
      <c r="D219" s="3"/>
      <c r="E219" s="3"/>
      <c r="F219" s="3"/>
      <c r="G219" s="4"/>
      <c r="H219" s="3"/>
      <c r="I219" s="3"/>
      <c r="N219" s="3"/>
      <c r="O219" s="5"/>
      <c r="P219" s="3"/>
      <c r="Q219" s="3"/>
      <c r="R219" s="3"/>
      <c r="S219" s="3"/>
      <c r="Y219" s="3"/>
      <c r="Z219" s="3"/>
      <c r="AA219" s="3"/>
    </row>
    <row r="220" spans="1:27" s="2" customFormat="1">
      <c r="A220" s="3"/>
      <c r="B220" s="3"/>
      <c r="C220" s="3"/>
      <c r="D220" s="3"/>
      <c r="E220" s="3"/>
      <c r="F220" s="3"/>
      <c r="G220" s="4"/>
      <c r="H220" s="3"/>
      <c r="I220" s="3"/>
      <c r="N220" s="3"/>
      <c r="O220" s="5"/>
      <c r="P220" s="3"/>
      <c r="Q220" s="3"/>
      <c r="R220" s="3"/>
      <c r="S220" s="3"/>
      <c r="Y220" s="3"/>
      <c r="Z220" s="3"/>
      <c r="AA220" s="3"/>
    </row>
    <row r="221" spans="1:27" s="2" customFormat="1">
      <c r="A221" s="3"/>
      <c r="B221" s="3"/>
      <c r="C221" s="3"/>
      <c r="D221" s="3"/>
      <c r="E221" s="3"/>
      <c r="F221" s="3"/>
      <c r="G221" s="4"/>
      <c r="H221" s="3"/>
      <c r="I221" s="3"/>
      <c r="N221" s="3"/>
      <c r="O221" s="5"/>
      <c r="P221" s="3"/>
      <c r="Q221" s="3"/>
      <c r="R221" s="3"/>
      <c r="S221" s="3"/>
      <c r="Y221" s="3"/>
      <c r="Z221" s="3"/>
      <c r="AA221" s="3"/>
    </row>
    <row r="222" spans="1:27" s="2" customFormat="1">
      <c r="A222" s="3"/>
      <c r="B222" s="3"/>
      <c r="C222" s="3"/>
      <c r="D222" s="3"/>
      <c r="E222" s="3"/>
      <c r="F222" s="3"/>
      <c r="G222" s="4"/>
      <c r="H222" s="3"/>
      <c r="I222" s="3"/>
      <c r="N222" s="3"/>
      <c r="O222" s="5"/>
      <c r="P222" s="3"/>
      <c r="Q222" s="3"/>
      <c r="R222" s="3"/>
      <c r="S222" s="3"/>
      <c r="Y222" s="3"/>
      <c r="Z222" s="3"/>
      <c r="AA222" s="3"/>
    </row>
    <row r="223" spans="1:27" s="2" customFormat="1">
      <c r="A223" s="3"/>
      <c r="B223" s="3"/>
      <c r="C223" s="3"/>
      <c r="D223" s="3"/>
      <c r="E223" s="3"/>
      <c r="F223" s="3"/>
      <c r="G223" s="4"/>
      <c r="H223" s="3"/>
      <c r="I223" s="3"/>
      <c r="N223" s="3"/>
      <c r="O223" s="5"/>
      <c r="P223" s="3"/>
      <c r="Q223" s="3"/>
      <c r="R223" s="3"/>
      <c r="S223" s="3"/>
      <c r="Y223" s="3"/>
      <c r="Z223" s="3"/>
      <c r="AA223" s="3"/>
    </row>
    <row r="224" spans="1:27" s="2" customFormat="1">
      <c r="A224" s="3"/>
      <c r="B224" s="3"/>
      <c r="C224" s="3"/>
      <c r="D224" s="3"/>
      <c r="E224" s="3"/>
      <c r="F224" s="3"/>
      <c r="G224" s="4"/>
      <c r="H224" s="3"/>
      <c r="I224" s="3"/>
      <c r="N224" s="3"/>
      <c r="O224" s="5"/>
      <c r="P224" s="3"/>
      <c r="Q224" s="3"/>
      <c r="R224" s="3"/>
      <c r="S224" s="3"/>
      <c r="Y224" s="3"/>
      <c r="Z224" s="3"/>
      <c r="AA224" s="3"/>
    </row>
    <row r="225" spans="1:27" s="2" customFormat="1">
      <c r="A225" s="3"/>
      <c r="B225" s="3"/>
      <c r="C225" s="3"/>
      <c r="D225" s="3"/>
      <c r="E225" s="3"/>
      <c r="F225" s="3"/>
      <c r="G225" s="4"/>
      <c r="H225" s="3"/>
      <c r="I225" s="3"/>
      <c r="N225" s="3"/>
      <c r="O225" s="5"/>
      <c r="P225" s="3"/>
      <c r="Q225" s="3"/>
      <c r="R225" s="3"/>
      <c r="S225" s="3"/>
      <c r="Y225" s="3"/>
      <c r="Z225" s="3"/>
      <c r="AA225" s="3"/>
    </row>
    <row r="226" spans="1:27" s="2" customFormat="1">
      <c r="A226" s="3"/>
      <c r="B226" s="3"/>
      <c r="C226" s="3"/>
      <c r="D226" s="3"/>
      <c r="E226" s="3"/>
      <c r="F226" s="3"/>
      <c r="G226" s="4"/>
      <c r="H226" s="3"/>
      <c r="I226" s="3"/>
      <c r="N226" s="3"/>
      <c r="O226" s="5"/>
      <c r="P226" s="3"/>
      <c r="Q226" s="3"/>
      <c r="R226" s="3"/>
      <c r="S226" s="3"/>
      <c r="Y226" s="3"/>
      <c r="Z226" s="3"/>
      <c r="AA226" s="3"/>
    </row>
    <row r="227" spans="1:27" s="2" customFormat="1">
      <c r="A227" s="3"/>
      <c r="B227" s="3"/>
      <c r="C227" s="3"/>
      <c r="D227" s="3"/>
      <c r="E227" s="3"/>
      <c r="F227" s="3"/>
      <c r="G227" s="4"/>
      <c r="H227" s="3"/>
      <c r="I227" s="3"/>
      <c r="N227" s="3"/>
      <c r="O227" s="5"/>
      <c r="P227" s="3"/>
      <c r="Q227" s="3"/>
      <c r="R227" s="3"/>
      <c r="S227" s="3"/>
      <c r="Y227" s="3"/>
      <c r="Z227" s="3"/>
      <c r="AA227" s="3"/>
    </row>
    <row r="228" spans="1:27" s="2" customFormat="1">
      <c r="A228" s="3"/>
      <c r="B228" s="3"/>
      <c r="C228" s="3"/>
      <c r="D228" s="3"/>
      <c r="E228" s="3"/>
      <c r="F228" s="3"/>
      <c r="G228" s="4"/>
      <c r="H228" s="3"/>
      <c r="I228" s="3"/>
      <c r="N228" s="3"/>
      <c r="O228" s="5"/>
      <c r="P228" s="3"/>
      <c r="Q228" s="3"/>
      <c r="R228" s="3"/>
      <c r="S228" s="3"/>
      <c r="Y228" s="3"/>
      <c r="Z228" s="3"/>
      <c r="AA228" s="3"/>
    </row>
    <row r="229" spans="1:27" s="2" customFormat="1">
      <c r="A229" s="3"/>
      <c r="B229" s="3"/>
      <c r="C229" s="3"/>
      <c r="D229" s="3"/>
      <c r="E229" s="3"/>
      <c r="F229" s="3"/>
      <c r="G229" s="4"/>
      <c r="H229" s="3"/>
      <c r="I229" s="3"/>
      <c r="N229" s="3"/>
      <c r="O229" s="5"/>
      <c r="P229" s="3"/>
      <c r="Q229" s="3"/>
      <c r="R229" s="3"/>
      <c r="S229" s="3"/>
      <c r="Y229" s="3"/>
      <c r="Z229" s="3"/>
      <c r="AA229" s="3"/>
    </row>
    <row r="230" spans="1:27" s="2" customFormat="1">
      <c r="A230" s="3"/>
      <c r="B230" s="3"/>
      <c r="C230" s="3"/>
      <c r="D230" s="3"/>
      <c r="E230" s="3"/>
      <c r="F230" s="3"/>
      <c r="G230" s="4"/>
      <c r="H230" s="3"/>
      <c r="I230" s="3"/>
      <c r="N230" s="3"/>
      <c r="O230" s="5"/>
      <c r="P230" s="3"/>
      <c r="Q230" s="3"/>
      <c r="R230" s="3"/>
      <c r="S230" s="3"/>
      <c r="Y230" s="3"/>
      <c r="Z230" s="3"/>
      <c r="AA230" s="3"/>
    </row>
    <row r="231" spans="1:27" s="2" customFormat="1">
      <c r="A231" s="3"/>
      <c r="B231" s="3"/>
      <c r="C231" s="3"/>
      <c r="D231" s="3"/>
      <c r="E231" s="3"/>
      <c r="F231" s="3"/>
      <c r="G231" s="4"/>
      <c r="H231" s="3"/>
      <c r="I231" s="3"/>
      <c r="N231" s="3"/>
      <c r="O231" s="5"/>
      <c r="P231" s="3"/>
      <c r="Q231" s="3"/>
      <c r="R231" s="3"/>
      <c r="S231" s="3"/>
      <c r="Y231" s="3"/>
      <c r="Z231" s="3"/>
      <c r="AA231" s="3"/>
    </row>
    <row r="232" spans="1:27" s="2" customFormat="1">
      <c r="A232" s="3"/>
      <c r="B232" s="3"/>
      <c r="C232" s="3"/>
      <c r="D232" s="3"/>
      <c r="E232" s="3"/>
      <c r="F232" s="3"/>
      <c r="G232" s="4"/>
      <c r="H232" s="3"/>
      <c r="I232" s="3"/>
      <c r="N232" s="3"/>
      <c r="O232" s="5"/>
      <c r="P232" s="3"/>
      <c r="Q232" s="3"/>
      <c r="R232" s="3"/>
      <c r="S232" s="3"/>
      <c r="Y232" s="3"/>
      <c r="Z232" s="3"/>
      <c r="AA232" s="3"/>
    </row>
    <row r="233" spans="1:27" s="2" customFormat="1">
      <c r="A233" s="3"/>
      <c r="B233" s="3"/>
      <c r="C233" s="3"/>
      <c r="D233" s="3"/>
      <c r="E233" s="3"/>
      <c r="F233" s="3"/>
      <c r="G233" s="4"/>
      <c r="H233" s="3"/>
      <c r="I233" s="3"/>
      <c r="N233" s="3"/>
      <c r="O233" s="5"/>
      <c r="P233" s="3"/>
      <c r="Q233" s="3"/>
      <c r="R233" s="3"/>
      <c r="S233" s="3"/>
      <c r="Y233" s="3"/>
      <c r="Z233" s="3"/>
      <c r="AA233" s="3"/>
    </row>
    <row r="234" spans="1:27" s="2" customFormat="1">
      <c r="A234" s="3"/>
      <c r="B234" s="3"/>
      <c r="C234" s="3"/>
      <c r="D234" s="3"/>
      <c r="E234" s="3"/>
      <c r="F234" s="3"/>
      <c r="G234" s="4"/>
      <c r="H234" s="3"/>
      <c r="I234" s="3"/>
      <c r="N234" s="3"/>
      <c r="O234" s="5"/>
      <c r="P234" s="3"/>
      <c r="Q234" s="3"/>
      <c r="R234" s="3"/>
      <c r="S234" s="3"/>
      <c r="Y234" s="3"/>
      <c r="Z234" s="3"/>
      <c r="AA234" s="3"/>
    </row>
    <row r="235" spans="1:27" s="2" customFormat="1">
      <c r="A235" s="3"/>
      <c r="B235" s="3"/>
      <c r="C235" s="3"/>
      <c r="D235" s="3"/>
      <c r="E235" s="3"/>
      <c r="F235" s="3"/>
      <c r="G235" s="4"/>
      <c r="H235" s="3"/>
      <c r="I235" s="3"/>
      <c r="N235" s="3"/>
      <c r="O235" s="5"/>
      <c r="P235" s="3"/>
      <c r="Q235" s="3"/>
      <c r="R235" s="3"/>
      <c r="S235" s="3"/>
      <c r="Y235" s="3"/>
      <c r="Z235" s="3"/>
      <c r="AA235" s="3"/>
    </row>
    <row r="236" spans="1:27" s="2" customFormat="1">
      <c r="A236" s="3"/>
      <c r="B236" s="3"/>
      <c r="C236" s="3"/>
      <c r="D236" s="3"/>
      <c r="E236" s="3"/>
      <c r="F236" s="3"/>
      <c r="G236" s="4"/>
      <c r="H236" s="3"/>
      <c r="I236" s="3"/>
      <c r="N236" s="3"/>
      <c r="O236" s="5"/>
      <c r="P236" s="3"/>
      <c r="Q236" s="3"/>
      <c r="R236" s="3"/>
      <c r="S236" s="3"/>
      <c r="Y236" s="3"/>
      <c r="Z236" s="3"/>
      <c r="AA236" s="3"/>
    </row>
    <row r="237" spans="1:27" s="2" customFormat="1">
      <c r="A237" s="3"/>
      <c r="B237" s="3"/>
      <c r="C237" s="3"/>
      <c r="D237" s="3"/>
      <c r="E237" s="3"/>
      <c r="F237" s="3"/>
      <c r="G237" s="4"/>
      <c r="H237" s="3"/>
      <c r="I237" s="3"/>
      <c r="N237" s="3"/>
      <c r="O237" s="5"/>
      <c r="P237" s="3"/>
      <c r="Q237" s="3"/>
      <c r="R237" s="3"/>
      <c r="S237" s="3"/>
      <c r="Y237" s="3"/>
      <c r="Z237" s="3"/>
      <c r="AA237" s="3"/>
    </row>
    <row r="238" spans="1:27" s="2" customFormat="1">
      <c r="A238" s="3"/>
      <c r="B238" s="3"/>
      <c r="C238" s="3"/>
      <c r="D238" s="3"/>
      <c r="E238" s="3"/>
      <c r="F238" s="3"/>
      <c r="G238" s="4"/>
      <c r="H238" s="3"/>
      <c r="I238" s="3"/>
      <c r="N238" s="3"/>
      <c r="O238" s="5"/>
      <c r="P238" s="3"/>
      <c r="Q238" s="3"/>
      <c r="R238" s="3"/>
      <c r="S238" s="3"/>
      <c r="Y238" s="3"/>
      <c r="Z238" s="3"/>
      <c r="AA238" s="3"/>
    </row>
    <row r="239" spans="1:27" s="2" customFormat="1">
      <c r="A239" s="3"/>
      <c r="B239" s="3"/>
      <c r="C239" s="3"/>
      <c r="D239" s="3"/>
      <c r="E239" s="3"/>
      <c r="F239" s="3"/>
      <c r="G239" s="4"/>
      <c r="H239" s="3"/>
      <c r="I239" s="3"/>
      <c r="N239" s="3"/>
      <c r="O239" s="5"/>
      <c r="P239" s="3"/>
      <c r="Q239" s="3"/>
      <c r="R239" s="3"/>
      <c r="S239" s="3"/>
      <c r="Y239" s="3"/>
      <c r="Z239" s="3"/>
      <c r="AA239" s="3"/>
    </row>
    <row r="240" spans="1:27" s="2" customFormat="1">
      <c r="A240" s="3"/>
      <c r="B240" s="3"/>
      <c r="C240" s="3"/>
      <c r="D240" s="3"/>
      <c r="E240" s="3"/>
      <c r="F240" s="3"/>
      <c r="G240" s="4"/>
      <c r="H240" s="3"/>
      <c r="I240" s="3"/>
      <c r="N240" s="3"/>
      <c r="O240" s="5"/>
      <c r="P240" s="3"/>
      <c r="Q240" s="3"/>
      <c r="R240" s="3"/>
      <c r="S240" s="3"/>
      <c r="Y240" s="3"/>
      <c r="Z240" s="3"/>
      <c r="AA240" s="3"/>
    </row>
    <row r="241" spans="1:27" s="2" customFormat="1">
      <c r="A241" s="3"/>
      <c r="B241" s="3"/>
      <c r="C241" s="3"/>
      <c r="D241" s="3"/>
      <c r="E241" s="3"/>
      <c r="F241" s="3"/>
      <c r="G241" s="4"/>
      <c r="H241" s="3"/>
      <c r="I241" s="3"/>
      <c r="N241" s="3"/>
      <c r="O241" s="5"/>
      <c r="P241" s="3"/>
      <c r="Q241" s="3"/>
      <c r="R241" s="3"/>
      <c r="S241" s="3"/>
      <c r="Y241" s="3"/>
      <c r="Z241" s="3"/>
      <c r="AA241" s="3"/>
    </row>
    <row r="242" spans="1:27" s="2" customFormat="1">
      <c r="A242" s="3"/>
      <c r="B242" s="3"/>
      <c r="C242" s="3"/>
      <c r="D242" s="3"/>
      <c r="E242" s="3"/>
      <c r="F242" s="3"/>
      <c r="G242" s="4"/>
      <c r="H242" s="3"/>
      <c r="I242" s="3"/>
      <c r="N242" s="3"/>
      <c r="O242" s="5"/>
      <c r="P242" s="3"/>
      <c r="Q242" s="3"/>
      <c r="R242" s="3"/>
      <c r="S242" s="3"/>
      <c r="Y242" s="3"/>
      <c r="Z242" s="3"/>
      <c r="AA242" s="3"/>
    </row>
    <row r="243" spans="1:27" s="2" customFormat="1">
      <c r="A243" s="3"/>
      <c r="B243" s="3"/>
      <c r="C243" s="3"/>
      <c r="D243" s="3"/>
      <c r="E243" s="3"/>
      <c r="F243" s="3"/>
      <c r="G243" s="4"/>
      <c r="H243" s="3"/>
      <c r="I243" s="3"/>
      <c r="N243" s="3"/>
      <c r="O243" s="5"/>
      <c r="P243" s="3"/>
      <c r="Q243" s="3"/>
      <c r="R243" s="3"/>
      <c r="S243" s="3"/>
      <c r="Y243" s="3"/>
      <c r="Z243" s="3"/>
      <c r="AA243" s="3"/>
    </row>
    <row r="244" spans="1:27" s="2" customFormat="1">
      <c r="A244" s="3"/>
      <c r="B244" s="3"/>
      <c r="C244" s="3"/>
      <c r="D244" s="3"/>
      <c r="E244" s="3"/>
      <c r="F244" s="3"/>
      <c r="G244" s="4"/>
      <c r="H244" s="3"/>
      <c r="I244" s="3"/>
      <c r="N244" s="3"/>
      <c r="O244" s="5"/>
      <c r="P244" s="3"/>
      <c r="Q244" s="3"/>
      <c r="R244" s="3"/>
      <c r="S244" s="3"/>
      <c r="Y244" s="3"/>
      <c r="Z244" s="3"/>
      <c r="AA244" s="3"/>
    </row>
    <row r="245" spans="1:27" s="2" customFormat="1">
      <c r="A245" s="3"/>
      <c r="B245" s="3"/>
      <c r="C245" s="3"/>
      <c r="D245" s="3"/>
      <c r="E245" s="3"/>
      <c r="F245" s="3"/>
      <c r="G245" s="4"/>
      <c r="H245" s="3"/>
      <c r="I245" s="3"/>
      <c r="N245" s="3"/>
      <c r="O245" s="5"/>
      <c r="P245" s="3"/>
      <c r="Q245" s="3"/>
      <c r="R245" s="3"/>
      <c r="S245" s="3"/>
      <c r="Y245" s="3"/>
      <c r="Z245" s="3"/>
      <c r="AA245" s="3"/>
    </row>
    <row r="246" spans="1:27" s="2" customFormat="1">
      <c r="A246" s="3"/>
      <c r="B246" s="3"/>
      <c r="C246" s="3"/>
      <c r="D246" s="3"/>
      <c r="E246" s="3"/>
      <c r="F246" s="3"/>
      <c r="G246" s="4"/>
      <c r="H246" s="3"/>
      <c r="I246" s="3"/>
      <c r="N246" s="3"/>
      <c r="O246" s="5"/>
      <c r="P246" s="3"/>
      <c r="Q246" s="3"/>
      <c r="R246" s="3"/>
      <c r="S246" s="3"/>
      <c r="Y246" s="3"/>
      <c r="Z246" s="3"/>
      <c r="AA246" s="3"/>
    </row>
    <row r="247" spans="1:27" s="2" customFormat="1">
      <c r="A247" s="3"/>
      <c r="B247" s="3"/>
      <c r="C247" s="3"/>
      <c r="D247" s="3"/>
      <c r="E247" s="3"/>
      <c r="F247" s="3"/>
      <c r="G247" s="4"/>
      <c r="H247" s="3"/>
      <c r="I247" s="3"/>
      <c r="N247" s="3"/>
      <c r="O247" s="5"/>
      <c r="P247" s="3"/>
      <c r="Q247" s="3"/>
      <c r="R247" s="3"/>
      <c r="S247" s="3"/>
      <c r="Y247" s="3"/>
      <c r="Z247" s="3"/>
      <c r="AA247" s="3"/>
    </row>
    <row r="248" spans="1:27" s="2" customFormat="1">
      <c r="A248" s="3"/>
      <c r="B248" s="3"/>
      <c r="C248" s="3"/>
      <c r="D248" s="3"/>
      <c r="E248" s="3"/>
      <c r="F248" s="3"/>
      <c r="G248" s="4"/>
      <c r="H248" s="3"/>
      <c r="I248" s="3"/>
      <c r="N248" s="3"/>
      <c r="O248" s="5"/>
      <c r="P248" s="3"/>
      <c r="Q248" s="3"/>
      <c r="R248" s="3"/>
      <c r="S248" s="3"/>
      <c r="Y248" s="3"/>
      <c r="Z248" s="3"/>
      <c r="AA248" s="3"/>
    </row>
    <row r="249" spans="1:27" s="2" customFormat="1">
      <c r="A249" s="3"/>
      <c r="B249" s="3"/>
      <c r="C249" s="3"/>
      <c r="D249" s="3"/>
      <c r="E249" s="3"/>
      <c r="F249" s="3"/>
      <c r="G249" s="4"/>
      <c r="H249" s="3"/>
      <c r="I249" s="3"/>
      <c r="N249" s="3"/>
      <c r="O249" s="5"/>
      <c r="P249" s="3"/>
      <c r="Q249" s="3"/>
      <c r="R249" s="3"/>
      <c r="S249" s="3"/>
      <c r="Y249" s="3"/>
      <c r="Z249" s="3"/>
      <c r="AA249" s="3"/>
    </row>
    <row r="250" spans="1:27" s="2" customFormat="1">
      <c r="A250" s="3"/>
      <c r="B250" s="3"/>
      <c r="C250" s="3"/>
      <c r="D250" s="3"/>
      <c r="E250" s="3"/>
      <c r="F250" s="3"/>
      <c r="G250" s="4"/>
      <c r="H250" s="3"/>
      <c r="I250" s="3"/>
      <c r="N250" s="3"/>
      <c r="O250" s="5"/>
      <c r="P250" s="3"/>
      <c r="Q250" s="3"/>
      <c r="R250" s="3"/>
      <c r="S250" s="3"/>
      <c r="Y250" s="3"/>
      <c r="Z250" s="3"/>
      <c r="AA250" s="3"/>
    </row>
    <row r="251" spans="1:27" s="2" customFormat="1">
      <c r="A251" s="3"/>
      <c r="B251" s="3"/>
      <c r="C251" s="3"/>
      <c r="D251" s="3"/>
      <c r="E251" s="3"/>
      <c r="F251" s="3"/>
      <c r="G251" s="4"/>
      <c r="H251" s="3"/>
      <c r="I251" s="3"/>
      <c r="N251" s="3"/>
      <c r="O251" s="5"/>
      <c r="P251" s="3"/>
      <c r="Q251" s="3"/>
      <c r="R251" s="3"/>
      <c r="S251" s="3"/>
      <c r="Y251" s="3"/>
      <c r="Z251" s="3"/>
      <c r="AA251" s="3"/>
    </row>
    <row r="252" spans="1:27" s="2" customFormat="1">
      <c r="A252" s="3"/>
      <c r="B252" s="3"/>
      <c r="C252" s="3"/>
      <c r="D252" s="3"/>
      <c r="E252" s="3"/>
      <c r="F252" s="3"/>
      <c r="G252" s="4"/>
      <c r="H252" s="3"/>
      <c r="I252" s="3"/>
      <c r="N252" s="3"/>
      <c r="O252" s="5"/>
      <c r="P252" s="3"/>
      <c r="Q252" s="3"/>
      <c r="R252" s="3"/>
      <c r="S252" s="3"/>
      <c r="Y252" s="3"/>
      <c r="Z252" s="3"/>
      <c r="AA252" s="3"/>
    </row>
    <row r="253" spans="1:27" s="2" customFormat="1">
      <c r="A253" s="3"/>
      <c r="B253" s="3"/>
      <c r="C253" s="3"/>
      <c r="D253" s="3"/>
      <c r="E253" s="3"/>
      <c r="F253" s="3"/>
      <c r="G253" s="4"/>
      <c r="H253" s="3"/>
      <c r="I253" s="3"/>
      <c r="N253" s="3"/>
      <c r="O253" s="5"/>
      <c r="P253" s="3"/>
      <c r="Q253" s="3"/>
      <c r="R253" s="3"/>
      <c r="S253" s="3"/>
      <c r="Y253" s="3"/>
      <c r="Z253" s="3"/>
      <c r="AA253" s="3"/>
    </row>
    <row r="254" spans="1:27" s="2" customFormat="1">
      <c r="A254" s="3"/>
      <c r="B254" s="3"/>
      <c r="C254" s="3"/>
      <c r="D254" s="3"/>
      <c r="E254" s="3"/>
      <c r="F254" s="3"/>
      <c r="G254" s="4"/>
      <c r="H254" s="3"/>
      <c r="I254" s="3"/>
      <c r="N254" s="3"/>
      <c r="O254" s="5"/>
      <c r="P254" s="3"/>
      <c r="Q254" s="3"/>
      <c r="R254" s="3"/>
      <c r="S254" s="3"/>
      <c r="Y254" s="3"/>
      <c r="Z254" s="3"/>
      <c r="AA254" s="3"/>
    </row>
    <row r="255" spans="1:27" s="2" customFormat="1">
      <c r="A255" s="3"/>
      <c r="B255" s="3"/>
      <c r="C255" s="3"/>
      <c r="D255" s="3"/>
      <c r="E255" s="3"/>
      <c r="F255" s="3"/>
      <c r="G255" s="4"/>
      <c r="H255" s="3"/>
      <c r="I255" s="3"/>
      <c r="N255" s="3"/>
      <c r="O255" s="5"/>
      <c r="P255" s="3"/>
      <c r="Q255" s="3"/>
      <c r="R255" s="3"/>
      <c r="S255" s="3"/>
      <c r="Y255" s="3"/>
      <c r="Z255" s="3"/>
      <c r="AA255" s="3"/>
    </row>
    <row r="256" spans="1:27" s="2" customFormat="1">
      <c r="A256" s="3"/>
      <c r="B256" s="3"/>
      <c r="C256" s="3"/>
      <c r="D256" s="3"/>
      <c r="E256" s="3"/>
      <c r="F256" s="3"/>
      <c r="G256" s="4"/>
      <c r="H256" s="3"/>
      <c r="I256" s="3"/>
      <c r="N256" s="3"/>
      <c r="O256" s="5"/>
      <c r="P256" s="3"/>
      <c r="Q256" s="3"/>
      <c r="R256" s="3"/>
      <c r="S256" s="3"/>
      <c r="Y256" s="3"/>
      <c r="Z256" s="3"/>
      <c r="AA256" s="3"/>
    </row>
    <row r="257" spans="1:27" s="2" customFormat="1">
      <c r="A257" s="3"/>
      <c r="B257" s="3"/>
      <c r="C257" s="3"/>
      <c r="D257" s="3"/>
      <c r="E257" s="3"/>
      <c r="F257" s="3"/>
      <c r="G257" s="4"/>
      <c r="H257" s="3"/>
      <c r="I257" s="3"/>
      <c r="N257" s="3"/>
      <c r="O257" s="5"/>
      <c r="P257" s="3"/>
      <c r="Q257" s="3"/>
      <c r="R257" s="3"/>
      <c r="S257" s="3"/>
      <c r="Y257" s="3"/>
      <c r="Z257" s="3"/>
      <c r="AA257" s="3"/>
    </row>
    <row r="258" spans="1:27" s="2" customFormat="1">
      <c r="A258" s="3"/>
      <c r="B258" s="3"/>
      <c r="C258" s="3"/>
      <c r="D258" s="3"/>
      <c r="E258" s="3"/>
      <c r="F258" s="3"/>
      <c r="G258" s="4"/>
      <c r="H258" s="3"/>
      <c r="I258" s="3"/>
      <c r="N258" s="3"/>
      <c r="O258" s="5"/>
      <c r="P258" s="3"/>
      <c r="Q258" s="3"/>
      <c r="R258" s="3"/>
      <c r="S258" s="3"/>
      <c r="Y258" s="3"/>
      <c r="Z258" s="3"/>
      <c r="AA258" s="3"/>
    </row>
    <row r="259" spans="1:27" s="2" customFormat="1">
      <c r="A259" s="3"/>
      <c r="B259" s="3"/>
      <c r="C259" s="3"/>
      <c r="D259" s="3"/>
      <c r="E259" s="3"/>
      <c r="F259" s="3"/>
      <c r="G259" s="4"/>
      <c r="H259" s="3"/>
      <c r="I259" s="3"/>
      <c r="N259" s="3"/>
      <c r="O259" s="5"/>
      <c r="P259" s="3"/>
      <c r="Q259" s="3"/>
      <c r="R259" s="3"/>
      <c r="S259" s="3"/>
      <c r="Y259" s="3"/>
      <c r="Z259" s="3"/>
      <c r="AA259" s="3"/>
    </row>
    <row r="260" spans="1:27" s="2" customFormat="1">
      <c r="A260" s="3"/>
      <c r="B260" s="3"/>
      <c r="C260" s="3"/>
      <c r="D260" s="3"/>
      <c r="E260" s="3"/>
      <c r="F260" s="3"/>
      <c r="G260" s="4"/>
      <c r="H260" s="3"/>
      <c r="I260" s="3"/>
      <c r="N260" s="3"/>
      <c r="O260" s="5"/>
      <c r="P260" s="3"/>
      <c r="Q260" s="3"/>
      <c r="R260" s="3"/>
      <c r="S260" s="3"/>
      <c r="Y260" s="3"/>
      <c r="Z260" s="3"/>
      <c r="AA260" s="3"/>
    </row>
    <row r="261" spans="1:27" s="2" customFormat="1">
      <c r="A261" s="3"/>
      <c r="B261" s="3"/>
      <c r="C261" s="3"/>
      <c r="D261" s="3"/>
      <c r="E261" s="3"/>
      <c r="F261" s="3"/>
      <c r="G261" s="4"/>
      <c r="H261" s="3"/>
      <c r="I261" s="3"/>
      <c r="N261" s="3"/>
      <c r="O261" s="5"/>
      <c r="P261" s="3"/>
      <c r="Q261" s="3"/>
      <c r="R261" s="3"/>
      <c r="S261" s="3"/>
      <c r="Y261" s="3"/>
      <c r="Z261" s="3"/>
      <c r="AA261" s="3"/>
    </row>
    <row r="262" spans="1:27" s="2" customFormat="1">
      <c r="A262" s="3"/>
      <c r="B262" s="3"/>
      <c r="C262" s="3"/>
      <c r="D262" s="3"/>
      <c r="E262" s="3"/>
      <c r="F262" s="3"/>
      <c r="G262" s="4"/>
      <c r="H262" s="3"/>
      <c r="I262" s="3"/>
      <c r="N262" s="3"/>
      <c r="O262" s="5"/>
      <c r="P262" s="3"/>
      <c r="Q262" s="3"/>
      <c r="R262" s="3"/>
      <c r="S262" s="3"/>
      <c r="Y262" s="3"/>
      <c r="Z262" s="3"/>
      <c r="AA262" s="3"/>
    </row>
    <row r="263" spans="1:27" s="2" customFormat="1">
      <c r="A263" s="3"/>
      <c r="B263" s="3"/>
      <c r="C263" s="3"/>
      <c r="D263" s="3"/>
      <c r="E263" s="3"/>
      <c r="F263" s="3"/>
      <c r="G263" s="4"/>
      <c r="H263" s="3"/>
      <c r="I263" s="3"/>
      <c r="N263" s="3"/>
      <c r="O263" s="5"/>
      <c r="P263" s="3"/>
      <c r="Q263" s="3"/>
      <c r="R263" s="3"/>
      <c r="S263" s="3"/>
      <c r="Y263" s="3"/>
      <c r="Z263" s="3"/>
      <c r="AA263" s="3"/>
    </row>
    <row r="264" spans="1:27" s="2" customFormat="1">
      <c r="A264" s="3"/>
      <c r="B264" s="3"/>
      <c r="C264" s="3"/>
      <c r="D264" s="3"/>
      <c r="E264" s="3"/>
      <c r="F264" s="3"/>
      <c r="G264" s="4"/>
      <c r="H264" s="3"/>
      <c r="I264" s="3"/>
      <c r="N264" s="3"/>
      <c r="O264" s="5"/>
      <c r="P264" s="3"/>
      <c r="Q264" s="3"/>
      <c r="R264" s="3"/>
      <c r="S264" s="3"/>
      <c r="Y264" s="3"/>
      <c r="Z264" s="3"/>
      <c r="AA264" s="3"/>
    </row>
    <row r="265" spans="1:27" s="2" customFormat="1">
      <c r="A265" s="3"/>
      <c r="B265" s="3"/>
      <c r="C265" s="3"/>
      <c r="D265" s="3"/>
      <c r="E265" s="3"/>
      <c r="F265" s="3"/>
      <c r="G265" s="4"/>
      <c r="H265" s="3"/>
      <c r="I265" s="3"/>
      <c r="N265" s="3"/>
      <c r="O265" s="5"/>
      <c r="P265" s="3"/>
      <c r="Q265" s="3"/>
      <c r="R265" s="3"/>
      <c r="S265" s="3"/>
      <c r="Y265" s="3"/>
      <c r="Z265" s="3"/>
      <c r="AA265" s="3"/>
    </row>
    <row r="266" spans="1:27" s="2" customFormat="1">
      <c r="A266" s="3"/>
      <c r="B266" s="3"/>
      <c r="C266" s="3"/>
      <c r="D266" s="3"/>
      <c r="E266" s="3"/>
      <c r="F266" s="3"/>
      <c r="G266" s="4"/>
      <c r="H266" s="3"/>
      <c r="I266" s="3"/>
      <c r="N266" s="3"/>
      <c r="O266" s="5"/>
      <c r="P266" s="3"/>
      <c r="Q266" s="3"/>
      <c r="R266" s="3"/>
      <c r="S266" s="3"/>
      <c r="Y266" s="3"/>
      <c r="Z266" s="3"/>
      <c r="AA266" s="3"/>
    </row>
    <row r="267" spans="1:27" s="2" customFormat="1">
      <c r="A267" s="3"/>
      <c r="B267" s="3"/>
      <c r="C267" s="3"/>
      <c r="D267" s="3"/>
      <c r="E267" s="3"/>
      <c r="F267" s="3"/>
      <c r="G267" s="4"/>
      <c r="H267" s="3"/>
      <c r="I267" s="3"/>
      <c r="N267" s="3"/>
      <c r="O267" s="5"/>
      <c r="P267" s="3"/>
      <c r="Q267" s="3"/>
      <c r="R267" s="3"/>
      <c r="S267" s="3"/>
      <c r="Y267" s="3"/>
      <c r="Z267" s="3"/>
      <c r="AA267" s="3"/>
    </row>
    <row r="268" spans="1:27" s="2" customFormat="1">
      <c r="A268" s="3"/>
      <c r="B268" s="3"/>
      <c r="C268" s="3"/>
      <c r="D268" s="3"/>
      <c r="E268" s="3"/>
      <c r="F268" s="3"/>
      <c r="G268" s="4"/>
      <c r="H268" s="3"/>
      <c r="I268" s="3"/>
      <c r="N268" s="3"/>
      <c r="O268" s="5"/>
      <c r="P268" s="3"/>
      <c r="Q268" s="3"/>
      <c r="R268" s="3"/>
      <c r="S268" s="3"/>
      <c r="Y268" s="3"/>
      <c r="Z268" s="3"/>
      <c r="AA268" s="3"/>
    </row>
    <row r="269" spans="1:27" s="2" customFormat="1">
      <c r="A269" s="3"/>
      <c r="B269" s="3"/>
      <c r="C269" s="3"/>
      <c r="D269" s="3"/>
      <c r="E269" s="3"/>
      <c r="F269" s="3"/>
      <c r="G269" s="4"/>
      <c r="H269" s="3"/>
      <c r="I269" s="3"/>
      <c r="N269" s="3"/>
      <c r="O269" s="5"/>
      <c r="P269" s="3"/>
      <c r="Q269" s="3"/>
      <c r="R269" s="3"/>
      <c r="S269" s="3"/>
      <c r="Y269" s="3"/>
      <c r="Z269" s="3"/>
      <c r="AA269" s="3"/>
    </row>
    <row r="270" spans="1:27" s="2" customFormat="1">
      <c r="A270" s="3"/>
      <c r="B270" s="3"/>
      <c r="C270" s="3"/>
      <c r="D270" s="3"/>
      <c r="E270" s="3"/>
      <c r="F270" s="3"/>
      <c r="G270" s="4"/>
      <c r="H270" s="3"/>
      <c r="I270" s="3"/>
      <c r="N270" s="3"/>
      <c r="O270" s="5"/>
      <c r="P270" s="3"/>
      <c r="Q270" s="3"/>
      <c r="R270" s="3"/>
      <c r="S270" s="3"/>
      <c r="Y270" s="3"/>
      <c r="Z270" s="3"/>
      <c r="AA270" s="3"/>
    </row>
    <row r="271" spans="1:27" s="2" customFormat="1">
      <c r="A271" s="3"/>
      <c r="B271" s="3"/>
      <c r="C271" s="3"/>
      <c r="D271" s="3"/>
      <c r="E271" s="3"/>
      <c r="F271" s="3"/>
      <c r="G271" s="4"/>
      <c r="H271" s="3"/>
      <c r="I271" s="3"/>
      <c r="N271" s="3"/>
      <c r="O271" s="5"/>
      <c r="P271" s="3"/>
      <c r="Q271" s="3"/>
      <c r="R271" s="3"/>
      <c r="S271" s="3"/>
      <c r="Y271" s="3"/>
      <c r="Z271" s="3"/>
      <c r="AA271" s="3"/>
    </row>
    <row r="272" spans="1:27" s="2" customFormat="1">
      <c r="A272" s="3"/>
      <c r="B272" s="3"/>
      <c r="C272" s="3"/>
      <c r="D272" s="3"/>
      <c r="E272" s="3"/>
      <c r="F272" s="3"/>
      <c r="G272" s="4"/>
      <c r="H272" s="3"/>
      <c r="I272" s="3"/>
      <c r="N272" s="3"/>
      <c r="O272" s="5"/>
      <c r="P272" s="3"/>
      <c r="Q272" s="3"/>
      <c r="R272" s="3"/>
      <c r="S272" s="3"/>
      <c r="Y272" s="3"/>
      <c r="Z272" s="3"/>
      <c r="AA272" s="3"/>
    </row>
    <row r="273" spans="1:27" s="2" customFormat="1">
      <c r="A273" s="3"/>
      <c r="B273" s="3"/>
      <c r="C273" s="3"/>
      <c r="D273" s="3"/>
      <c r="E273" s="3"/>
      <c r="F273" s="3"/>
      <c r="G273" s="4"/>
      <c r="H273" s="3"/>
      <c r="I273" s="3"/>
      <c r="N273" s="3"/>
      <c r="O273" s="5"/>
      <c r="P273" s="3"/>
      <c r="Q273" s="3"/>
      <c r="R273" s="3"/>
      <c r="S273" s="3"/>
      <c r="Y273" s="3"/>
      <c r="Z273" s="3"/>
      <c r="AA273" s="3"/>
    </row>
    <row r="274" spans="1:27" s="2" customFormat="1">
      <c r="A274" s="3"/>
      <c r="B274" s="3"/>
      <c r="C274" s="3"/>
      <c r="D274" s="3"/>
      <c r="E274" s="3"/>
      <c r="F274" s="3"/>
      <c r="G274" s="4"/>
      <c r="H274" s="3"/>
      <c r="I274" s="3"/>
      <c r="N274" s="3"/>
      <c r="O274" s="5"/>
      <c r="P274" s="3"/>
      <c r="Q274" s="3"/>
      <c r="R274" s="3"/>
      <c r="S274" s="3"/>
      <c r="Y274" s="3"/>
      <c r="Z274" s="3"/>
      <c r="AA274" s="3"/>
    </row>
    <row r="275" spans="1:27" s="2" customFormat="1">
      <c r="A275" s="3"/>
      <c r="B275" s="3"/>
      <c r="C275" s="3"/>
      <c r="D275" s="3"/>
      <c r="E275" s="3"/>
      <c r="F275" s="3"/>
      <c r="G275" s="4"/>
      <c r="H275" s="3"/>
      <c r="I275" s="3"/>
      <c r="N275" s="3"/>
      <c r="O275" s="5"/>
      <c r="P275" s="3"/>
      <c r="Q275" s="3"/>
      <c r="R275" s="3"/>
      <c r="S275" s="3"/>
      <c r="Y275" s="3"/>
      <c r="Z275" s="3"/>
      <c r="AA275" s="3"/>
    </row>
    <row r="276" spans="1:27" s="2" customFormat="1">
      <c r="A276" s="3"/>
      <c r="B276" s="3"/>
      <c r="C276" s="3"/>
      <c r="D276" s="3"/>
      <c r="E276" s="3"/>
      <c r="F276" s="3"/>
      <c r="G276" s="4"/>
      <c r="H276" s="3"/>
      <c r="I276" s="3"/>
      <c r="N276" s="3"/>
      <c r="O276" s="5"/>
      <c r="P276" s="3"/>
      <c r="Q276" s="3"/>
      <c r="R276" s="3"/>
      <c r="S276" s="3"/>
      <c r="Y276" s="3"/>
      <c r="Z276" s="3"/>
      <c r="AA276" s="3"/>
    </row>
    <row r="277" spans="1:27" s="2" customFormat="1">
      <c r="A277" s="3"/>
      <c r="B277" s="3"/>
      <c r="C277" s="3"/>
      <c r="D277" s="3"/>
      <c r="E277" s="3"/>
      <c r="F277" s="3"/>
      <c r="G277" s="4"/>
      <c r="H277" s="3"/>
      <c r="I277" s="3"/>
      <c r="N277" s="3"/>
      <c r="O277" s="5"/>
      <c r="P277" s="3"/>
      <c r="Q277" s="3"/>
      <c r="R277" s="3"/>
      <c r="S277" s="3"/>
      <c r="Y277" s="3"/>
      <c r="Z277" s="3"/>
      <c r="AA277" s="3"/>
    </row>
    <row r="278" spans="1:27" s="2" customFormat="1">
      <c r="A278" s="3"/>
      <c r="B278" s="3"/>
      <c r="C278" s="3"/>
      <c r="D278" s="3"/>
      <c r="E278" s="3"/>
      <c r="F278" s="3"/>
      <c r="G278" s="4"/>
      <c r="H278" s="3"/>
      <c r="I278" s="3"/>
      <c r="N278" s="3"/>
      <c r="O278" s="5"/>
      <c r="P278" s="3"/>
      <c r="Q278" s="3"/>
      <c r="R278" s="3"/>
      <c r="S278" s="3"/>
      <c r="Y278" s="3"/>
      <c r="Z278" s="3"/>
      <c r="AA278" s="3"/>
    </row>
    <row r="279" spans="1:27" s="2" customFormat="1">
      <c r="A279" s="3"/>
      <c r="B279" s="3"/>
      <c r="C279" s="3"/>
      <c r="D279" s="3"/>
      <c r="E279" s="3"/>
      <c r="F279" s="3"/>
      <c r="G279" s="4"/>
      <c r="H279" s="3"/>
      <c r="I279" s="3"/>
      <c r="N279" s="3"/>
      <c r="O279" s="5"/>
      <c r="P279" s="3"/>
      <c r="Q279" s="3"/>
      <c r="R279" s="3"/>
      <c r="S279" s="3"/>
      <c r="Y279" s="3"/>
      <c r="Z279" s="3"/>
      <c r="AA279" s="3"/>
    </row>
    <row r="280" spans="1:27" s="2" customFormat="1">
      <c r="A280" s="3"/>
      <c r="B280" s="3"/>
      <c r="C280" s="3"/>
      <c r="D280" s="3"/>
      <c r="E280" s="3"/>
      <c r="F280" s="3"/>
      <c r="G280" s="4"/>
      <c r="H280" s="3"/>
      <c r="I280" s="3"/>
      <c r="N280" s="3"/>
      <c r="O280" s="5"/>
      <c r="P280" s="3"/>
      <c r="Q280" s="3"/>
      <c r="R280" s="3"/>
      <c r="S280" s="3"/>
      <c r="Y280" s="3"/>
      <c r="Z280" s="3"/>
      <c r="AA280" s="3"/>
    </row>
    <row r="281" spans="1:27" s="2" customFormat="1">
      <c r="A281" s="3"/>
      <c r="B281" s="3"/>
      <c r="C281" s="3"/>
      <c r="D281" s="3"/>
      <c r="E281" s="3"/>
      <c r="F281" s="3"/>
      <c r="G281" s="4"/>
      <c r="H281" s="3"/>
      <c r="I281" s="3"/>
      <c r="N281" s="3"/>
      <c r="O281" s="5"/>
      <c r="P281" s="3"/>
      <c r="Q281" s="3"/>
      <c r="R281" s="3"/>
      <c r="S281" s="3"/>
      <c r="Y281" s="3"/>
      <c r="Z281" s="3"/>
      <c r="AA281" s="3"/>
    </row>
    <row r="282" spans="1:27" s="2" customFormat="1">
      <c r="A282" s="3"/>
      <c r="B282" s="3"/>
      <c r="C282" s="3"/>
      <c r="D282" s="3"/>
      <c r="E282" s="3"/>
      <c r="F282" s="3"/>
      <c r="G282" s="4"/>
      <c r="H282" s="3"/>
      <c r="I282" s="3"/>
      <c r="N282" s="3"/>
      <c r="O282" s="5"/>
      <c r="P282" s="3"/>
      <c r="Q282" s="3"/>
      <c r="R282" s="3"/>
      <c r="S282" s="3"/>
      <c r="Y282" s="3"/>
      <c r="Z282" s="3"/>
      <c r="AA282" s="3"/>
    </row>
    <row r="283" spans="1:27" s="2" customFormat="1">
      <c r="A283" s="3"/>
      <c r="B283" s="3"/>
      <c r="C283" s="3"/>
      <c r="D283" s="3"/>
      <c r="E283" s="3"/>
      <c r="F283" s="3"/>
      <c r="G283" s="4"/>
      <c r="H283" s="3"/>
      <c r="I283" s="3"/>
      <c r="N283" s="3"/>
      <c r="O283" s="5"/>
      <c r="P283" s="3"/>
      <c r="Q283" s="3"/>
      <c r="R283" s="3"/>
      <c r="S283" s="3"/>
      <c r="Y283" s="3"/>
      <c r="Z283" s="3"/>
      <c r="AA283" s="3"/>
    </row>
    <row r="284" spans="1:27" s="2" customFormat="1">
      <c r="A284" s="3"/>
      <c r="B284" s="3"/>
      <c r="C284" s="3"/>
      <c r="D284" s="3"/>
      <c r="E284" s="3"/>
      <c r="F284" s="3"/>
      <c r="G284" s="4"/>
      <c r="H284" s="3"/>
      <c r="I284" s="3"/>
      <c r="N284" s="3"/>
      <c r="O284" s="5"/>
      <c r="P284" s="3"/>
      <c r="Q284" s="3"/>
      <c r="R284" s="3"/>
      <c r="S284" s="3"/>
      <c r="Y284" s="3"/>
      <c r="Z284" s="3"/>
      <c r="AA284" s="3"/>
    </row>
    <row r="285" spans="1:27" s="2" customFormat="1">
      <c r="A285" s="3"/>
      <c r="B285" s="3"/>
      <c r="C285" s="3"/>
      <c r="D285" s="3"/>
      <c r="E285" s="3"/>
      <c r="F285" s="3"/>
      <c r="G285" s="4"/>
      <c r="H285" s="3"/>
      <c r="I285" s="3"/>
      <c r="N285" s="3"/>
      <c r="O285" s="5"/>
      <c r="P285" s="3"/>
      <c r="Q285" s="3"/>
      <c r="R285" s="3"/>
      <c r="S285" s="3"/>
      <c r="Y285" s="3"/>
      <c r="Z285" s="3"/>
      <c r="AA285" s="3"/>
    </row>
    <row r="286" spans="1:27" s="2" customFormat="1">
      <c r="A286" s="3"/>
      <c r="B286" s="3"/>
      <c r="C286" s="3"/>
      <c r="D286" s="3"/>
      <c r="E286" s="3"/>
      <c r="F286" s="3"/>
      <c r="G286" s="4"/>
      <c r="H286" s="3"/>
      <c r="I286" s="3"/>
      <c r="N286" s="3"/>
      <c r="O286" s="5"/>
      <c r="P286" s="3"/>
      <c r="Q286" s="3"/>
      <c r="R286" s="3"/>
      <c r="S286" s="3"/>
      <c r="Y286" s="3"/>
      <c r="Z286" s="3"/>
      <c r="AA286" s="3"/>
    </row>
    <row r="287" spans="1:27" s="2" customFormat="1">
      <c r="A287" s="3"/>
      <c r="B287" s="3"/>
      <c r="C287" s="3"/>
      <c r="D287" s="3"/>
      <c r="E287" s="3"/>
      <c r="F287" s="3"/>
      <c r="G287" s="4"/>
      <c r="H287" s="3"/>
      <c r="I287" s="3"/>
      <c r="N287" s="3"/>
      <c r="O287" s="5"/>
      <c r="P287" s="3"/>
      <c r="Q287" s="3"/>
      <c r="R287" s="3"/>
      <c r="S287" s="3"/>
      <c r="Y287" s="3"/>
      <c r="Z287" s="3"/>
      <c r="AA287" s="3"/>
    </row>
    <row r="288" spans="1:27" s="2" customFormat="1">
      <c r="A288" s="3"/>
      <c r="B288" s="3"/>
      <c r="C288" s="3"/>
      <c r="D288" s="3"/>
      <c r="E288" s="3"/>
      <c r="F288" s="3"/>
      <c r="G288" s="4"/>
      <c r="H288" s="3"/>
      <c r="I288" s="3"/>
      <c r="N288" s="3"/>
      <c r="O288" s="5"/>
      <c r="P288" s="3"/>
      <c r="Q288" s="3"/>
      <c r="R288" s="3"/>
      <c r="S288" s="3"/>
      <c r="Y288" s="3"/>
      <c r="Z288" s="3"/>
      <c r="AA288" s="3"/>
    </row>
    <row r="289" spans="1:27" s="2" customFormat="1">
      <c r="A289" s="3"/>
      <c r="B289" s="3"/>
      <c r="C289" s="3"/>
      <c r="D289" s="3"/>
      <c r="E289" s="3"/>
      <c r="F289" s="3"/>
      <c r="G289" s="4"/>
      <c r="H289" s="3"/>
      <c r="I289" s="3"/>
      <c r="N289" s="3"/>
      <c r="O289" s="5"/>
      <c r="P289" s="3"/>
      <c r="Q289" s="3"/>
      <c r="R289" s="3"/>
      <c r="S289" s="3"/>
      <c r="Y289" s="3"/>
      <c r="Z289" s="3"/>
      <c r="AA289" s="3"/>
    </row>
    <row r="290" spans="1:27" s="2" customFormat="1">
      <c r="A290" s="3"/>
      <c r="B290" s="3"/>
      <c r="C290" s="3"/>
      <c r="D290" s="3"/>
      <c r="E290" s="3"/>
      <c r="F290" s="3"/>
      <c r="G290" s="4"/>
      <c r="H290" s="3"/>
      <c r="I290" s="3"/>
      <c r="N290" s="3"/>
      <c r="O290" s="5"/>
      <c r="P290" s="3"/>
      <c r="Q290" s="3"/>
      <c r="R290" s="3"/>
      <c r="S290" s="3"/>
      <c r="Y290" s="3"/>
      <c r="Z290" s="3"/>
      <c r="AA290" s="3"/>
    </row>
    <row r="291" spans="1:27" s="2" customFormat="1">
      <c r="A291" s="3"/>
      <c r="B291" s="3"/>
      <c r="C291" s="3"/>
      <c r="D291" s="3"/>
      <c r="E291" s="3"/>
      <c r="F291" s="3"/>
      <c r="G291" s="4"/>
      <c r="H291" s="3"/>
      <c r="I291" s="3"/>
      <c r="N291" s="3"/>
      <c r="O291" s="5"/>
      <c r="P291" s="3"/>
      <c r="Q291" s="3"/>
      <c r="R291" s="3"/>
      <c r="S291" s="3"/>
      <c r="Y291" s="3"/>
      <c r="Z291" s="3"/>
      <c r="AA291" s="3"/>
    </row>
    <row r="292" spans="1:27" s="2" customFormat="1">
      <c r="A292" s="3"/>
      <c r="B292" s="3"/>
      <c r="C292" s="3"/>
      <c r="D292" s="3"/>
      <c r="E292" s="3"/>
      <c r="F292" s="3"/>
      <c r="G292" s="4"/>
      <c r="H292" s="3"/>
      <c r="I292" s="3"/>
      <c r="N292" s="3"/>
      <c r="O292" s="5"/>
      <c r="P292" s="3"/>
      <c r="Q292" s="3"/>
      <c r="R292" s="3"/>
      <c r="S292" s="3"/>
      <c r="Y292" s="3"/>
      <c r="Z292" s="3"/>
      <c r="AA292" s="3"/>
    </row>
    <row r="293" spans="1:27" s="2" customFormat="1">
      <c r="A293" s="3"/>
      <c r="B293" s="3"/>
      <c r="C293" s="3"/>
      <c r="D293" s="3"/>
      <c r="E293" s="3"/>
      <c r="F293" s="3"/>
      <c r="G293" s="4"/>
      <c r="H293" s="3"/>
      <c r="I293" s="3"/>
      <c r="N293" s="3"/>
      <c r="O293" s="5"/>
      <c r="P293" s="3"/>
      <c r="Q293" s="3"/>
      <c r="R293" s="3"/>
      <c r="S293" s="3"/>
      <c r="Y293" s="3"/>
      <c r="Z293" s="3"/>
      <c r="AA293" s="3"/>
    </row>
    <row r="294" spans="1:27" s="2" customFormat="1">
      <c r="A294" s="3"/>
      <c r="B294" s="3"/>
      <c r="C294" s="3"/>
      <c r="D294" s="3"/>
      <c r="E294" s="3"/>
      <c r="F294" s="3"/>
      <c r="G294" s="4"/>
      <c r="H294" s="3"/>
      <c r="I294" s="3"/>
      <c r="N294" s="3"/>
      <c r="O294" s="5"/>
      <c r="P294" s="3"/>
      <c r="Q294" s="3"/>
      <c r="R294" s="3"/>
      <c r="S294" s="3"/>
      <c r="Y294" s="3"/>
      <c r="Z294" s="3"/>
      <c r="AA294" s="3"/>
    </row>
    <row r="295" spans="1:27" s="2" customFormat="1">
      <c r="A295" s="3"/>
      <c r="B295" s="3"/>
      <c r="C295" s="3"/>
      <c r="D295" s="3"/>
      <c r="E295" s="3"/>
      <c r="F295" s="3"/>
      <c r="G295" s="4"/>
      <c r="H295" s="3"/>
      <c r="I295" s="3"/>
      <c r="N295" s="3"/>
      <c r="O295" s="5"/>
      <c r="P295" s="3"/>
      <c r="Q295" s="3"/>
      <c r="R295" s="3"/>
      <c r="S295" s="3"/>
      <c r="Y295" s="3"/>
      <c r="Z295" s="3"/>
      <c r="AA295" s="3"/>
    </row>
    <row r="296" spans="1:27" s="2" customFormat="1">
      <c r="A296" s="3"/>
      <c r="B296" s="3"/>
      <c r="C296" s="3"/>
      <c r="D296" s="3"/>
      <c r="E296" s="3"/>
      <c r="F296" s="3"/>
      <c r="G296" s="4"/>
      <c r="H296" s="3"/>
      <c r="I296" s="3"/>
      <c r="N296" s="3"/>
      <c r="O296" s="5"/>
      <c r="P296" s="3"/>
      <c r="Q296" s="3"/>
      <c r="R296" s="3"/>
      <c r="S296" s="3"/>
      <c r="Y296" s="3"/>
      <c r="Z296" s="3"/>
      <c r="AA296" s="3"/>
    </row>
    <row r="297" spans="1:27" s="2" customFormat="1">
      <c r="A297" s="3"/>
      <c r="B297" s="3"/>
      <c r="C297" s="3"/>
      <c r="D297" s="3"/>
      <c r="E297" s="3"/>
      <c r="F297" s="3"/>
      <c r="G297" s="4"/>
      <c r="H297" s="3"/>
      <c r="I297" s="3"/>
      <c r="N297" s="3"/>
      <c r="O297" s="5"/>
      <c r="P297" s="3"/>
      <c r="Q297" s="3"/>
      <c r="R297" s="3"/>
      <c r="S297" s="3"/>
      <c r="Y297" s="3"/>
      <c r="Z297" s="3"/>
      <c r="AA297" s="3"/>
    </row>
    <row r="298" spans="1:27" s="2" customFormat="1">
      <c r="A298" s="3"/>
      <c r="B298" s="3"/>
      <c r="C298" s="3"/>
      <c r="D298" s="3"/>
      <c r="E298" s="3"/>
      <c r="F298" s="3"/>
      <c r="G298" s="4"/>
      <c r="H298" s="3"/>
      <c r="I298" s="3"/>
      <c r="N298" s="3"/>
      <c r="O298" s="5"/>
      <c r="P298" s="3"/>
      <c r="Q298" s="3"/>
      <c r="R298" s="3"/>
      <c r="S298" s="3"/>
      <c r="Y298" s="3"/>
      <c r="Z298" s="3"/>
      <c r="AA298" s="3"/>
    </row>
    <row r="299" spans="1:27" s="2" customFormat="1">
      <c r="A299" s="3"/>
      <c r="B299" s="3"/>
      <c r="C299" s="3"/>
      <c r="D299" s="3"/>
      <c r="E299" s="3"/>
      <c r="F299" s="3"/>
      <c r="G299" s="4"/>
      <c r="H299" s="3"/>
      <c r="I299" s="3"/>
      <c r="N299" s="3"/>
      <c r="O299" s="5"/>
      <c r="P299" s="3"/>
      <c r="Q299" s="3"/>
      <c r="R299" s="3"/>
      <c r="S299" s="3"/>
      <c r="Y299" s="3"/>
      <c r="Z299" s="3"/>
      <c r="AA299" s="3"/>
    </row>
    <row r="300" spans="1:27" s="2" customFormat="1">
      <c r="A300" s="3"/>
      <c r="B300" s="3"/>
      <c r="C300" s="3"/>
      <c r="D300" s="3"/>
      <c r="E300" s="3"/>
      <c r="F300" s="3"/>
      <c r="G300" s="4"/>
      <c r="H300" s="3"/>
      <c r="I300" s="3"/>
      <c r="N300" s="3"/>
      <c r="O300" s="5"/>
      <c r="P300" s="3"/>
      <c r="Q300" s="3"/>
      <c r="R300" s="3"/>
      <c r="S300" s="3"/>
      <c r="Y300" s="3"/>
      <c r="Z300" s="3"/>
      <c r="AA300" s="3"/>
    </row>
  </sheetData>
  <mergeCells count="4">
    <mergeCell ref="H1:I1"/>
    <mergeCell ref="A90:A106"/>
    <mergeCell ref="S90:S106"/>
    <mergeCell ref="S120:S129"/>
  </mergeCells>
  <phoneticPr fontId="11" type="noConversion"/>
  <pageMargins left="0.69930555555555596" right="0.69930555555555596"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zoomScale="85" zoomScaleNormal="85" workbookViewId="0">
      <pane xSplit="2" ySplit="3" topLeftCell="O4" activePane="bottomRight" state="frozen"/>
      <selection pane="topRight"/>
      <selection pane="bottomLeft"/>
      <selection pane="bottomRight" activeCell="J1" sqref="J1:J1048576"/>
    </sheetView>
  </sheetViews>
  <sheetFormatPr defaultColWidth="9.28515625" defaultRowHeight="14.25"/>
  <cols>
    <col min="1" max="1" width="29.28515625" style="84" customWidth="1"/>
    <col min="2" max="2" width="49.85546875" style="145" customWidth="1"/>
    <col min="3" max="3" width="27.7109375" style="130" customWidth="1"/>
    <col min="4" max="4" width="26.42578125" style="85" customWidth="1"/>
    <col min="5" max="5" width="31.42578125" style="85" customWidth="1"/>
    <col min="6" max="6" width="27.7109375" style="130" customWidth="1"/>
    <col min="7" max="7" width="26.42578125" style="85" customWidth="1"/>
    <col min="8" max="9" width="31.42578125" style="85" customWidth="1"/>
    <col min="10" max="10" width="27.7109375" style="130" customWidth="1"/>
    <col min="11" max="11" width="26.42578125" style="85" customWidth="1"/>
    <col min="12" max="13" width="31.42578125" style="85" customWidth="1"/>
    <col min="14" max="14" width="21.42578125" style="176" customWidth="1"/>
    <col min="15" max="15" width="18.7109375" style="176" customWidth="1"/>
    <col min="16" max="16" width="35.7109375" style="85" customWidth="1"/>
    <col min="17" max="16384" width="9.28515625" style="84"/>
  </cols>
  <sheetData>
    <row r="1" spans="1:16">
      <c r="A1" s="131" t="s">
        <v>37</v>
      </c>
      <c r="B1" s="146"/>
      <c r="F1" s="172"/>
      <c r="G1" s="120"/>
      <c r="H1" s="120"/>
      <c r="I1" s="120"/>
      <c r="N1" s="123"/>
      <c r="O1" s="123"/>
    </row>
    <row r="2" spans="1:16" ht="24">
      <c r="A2" s="131" t="s">
        <v>38</v>
      </c>
      <c r="B2" s="171" t="s">
        <v>39</v>
      </c>
      <c r="C2" s="218" t="s">
        <v>5</v>
      </c>
      <c r="D2" s="219"/>
      <c r="E2" s="220"/>
      <c r="F2" s="218" t="s">
        <v>12</v>
      </c>
      <c r="G2" s="219"/>
      <c r="H2" s="219"/>
      <c r="I2" s="220"/>
      <c r="J2" s="218" t="s">
        <v>14</v>
      </c>
      <c r="K2" s="219"/>
      <c r="L2" s="213" t="s">
        <v>16</v>
      </c>
      <c r="M2" s="214"/>
      <c r="N2" s="213" t="s">
        <v>20</v>
      </c>
      <c r="O2" s="214"/>
      <c r="P2" s="91" t="s">
        <v>23</v>
      </c>
    </row>
    <row r="3" spans="1:16">
      <c r="A3" s="131"/>
      <c r="B3" s="171"/>
      <c r="C3" s="132" t="s">
        <v>41</v>
      </c>
      <c r="D3" s="133" t="s">
        <v>42</v>
      </c>
      <c r="E3" s="133" t="s">
        <v>43</v>
      </c>
      <c r="F3" s="132" t="s">
        <v>41</v>
      </c>
      <c r="G3" s="133" t="s">
        <v>42</v>
      </c>
      <c r="H3" s="133" t="s">
        <v>43</v>
      </c>
      <c r="I3" s="133" t="s">
        <v>44</v>
      </c>
      <c r="J3" s="132" t="s">
        <v>41</v>
      </c>
      <c r="K3" s="133" t="s">
        <v>42</v>
      </c>
      <c r="L3" s="132" t="s">
        <v>41</v>
      </c>
      <c r="M3" s="133" t="s">
        <v>42</v>
      </c>
      <c r="N3" s="147" t="s">
        <v>41</v>
      </c>
      <c r="O3" s="165" t="s">
        <v>42</v>
      </c>
      <c r="P3" s="165" t="s">
        <v>42</v>
      </c>
    </row>
    <row r="4" spans="1:16">
      <c r="A4" s="97" t="s">
        <v>45</v>
      </c>
      <c r="B4" s="155" t="s">
        <v>46</v>
      </c>
      <c r="C4" s="135" t="s">
        <v>47</v>
      </c>
      <c r="D4" s="135" t="s">
        <v>47</v>
      </c>
      <c r="E4" s="135" t="s">
        <v>47</v>
      </c>
      <c r="F4" s="135" t="s">
        <v>47</v>
      </c>
      <c r="G4" s="135" t="s">
        <v>47</v>
      </c>
      <c r="H4" s="135" t="s">
        <v>47</v>
      </c>
      <c r="I4" s="135" t="s">
        <v>47</v>
      </c>
      <c r="J4" s="135" t="s">
        <v>47</v>
      </c>
      <c r="K4" s="135" t="s">
        <v>47</v>
      </c>
      <c r="L4" s="135" t="s">
        <v>47</v>
      </c>
      <c r="M4" s="135" t="s">
        <v>47</v>
      </c>
      <c r="N4" s="168" t="s">
        <v>47</v>
      </c>
      <c r="O4" s="168" t="s">
        <v>47</v>
      </c>
      <c r="P4" s="135" t="s">
        <v>47</v>
      </c>
    </row>
    <row r="5" spans="1:16">
      <c r="A5" s="97" t="s">
        <v>48</v>
      </c>
      <c r="B5" s="155"/>
      <c r="C5" s="135" t="s">
        <v>49</v>
      </c>
      <c r="D5" s="155" t="s">
        <v>50</v>
      </c>
      <c r="E5" s="97" t="s">
        <v>49</v>
      </c>
      <c r="F5" s="135" t="s">
        <v>49</v>
      </c>
      <c r="G5" s="155" t="s">
        <v>50</v>
      </c>
      <c r="H5" s="97" t="s">
        <v>49</v>
      </c>
      <c r="I5" s="97" t="s">
        <v>50</v>
      </c>
      <c r="J5" s="135" t="s">
        <v>49</v>
      </c>
      <c r="K5" s="155" t="s">
        <v>50</v>
      </c>
      <c r="L5" s="135" t="s">
        <v>49</v>
      </c>
      <c r="M5" s="155" t="s">
        <v>50</v>
      </c>
      <c r="N5" s="168" t="s">
        <v>49</v>
      </c>
      <c r="O5" s="177" t="s">
        <v>50</v>
      </c>
      <c r="P5" s="155" t="s">
        <v>50</v>
      </c>
    </row>
    <row r="6" spans="1:16">
      <c r="A6" s="119" t="s">
        <v>51</v>
      </c>
      <c r="B6" s="155"/>
      <c r="C6" s="135" t="s">
        <v>47</v>
      </c>
      <c r="D6" s="135" t="s">
        <v>47</v>
      </c>
      <c r="E6" s="97" t="s">
        <v>47</v>
      </c>
      <c r="F6" s="135" t="s">
        <v>47</v>
      </c>
      <c r="G6" s="135" t="s">
        <v>47</v>
      </c>
      <c r="H6" s="97" t="s">
        <v>47</v>
      </c>
      <c r="I6" s="97" t="s">
        <v>47</v>
      </c>
      <c r="J6" s="135" t="s">
        <v>47</v>
      </c>
      <c r="K6" s="135" t="s">
        <v>47</v>
      </c>
      <c r="L6" s="135" t="s">
        <v>47</v>
      </c>
      <c r="M6" s="135" t="s">
        <v>47</v>
      </c>
      <c r="N6" s="168" t="s">
        <v>47</v>
      </c>
      <c r="O6" s="168" t="s">
        <v>47</v>
      </c>
      <c r="P6" s="135" t="s">
        <v>47</v>
      </c>
    </row>
    <row r="7" spans="1:16">
      <c r="A7" s="119" t="s">
        <v>52</v>
      </c>
      <c r="B7" s="155" t="s">
        <v>53</v>
      </c>
      <c r="C7" s="135" t="s">
        <v>47</v>
      </c>
      <c r="D7" s="135" t="s">
        <v>47</v>
      </c>
      <c r="E7" s="135" t="s">
        <v>47</v>
      </c>
      <c r="F7" s="135" t="s">
        <v>47</v>
      </c>
      <c r="G7" s="135" t="s">
        <v>47</v>
      </c>
      <c r="H7" s="135" t="s">
        <v>47</v>
      </c>
      <c r="I7" s="135" t="s">
        <v>47</v>
      </c>
      <c r="J7" s="135" t="s">
        <v>47</v>
      </c>
      <c r="K7" s="135" t="s">
        <v>47</v>
      </c>
      <c r="L7" s="135" t="s">
        <v>47</v>
      </c>
      <c r="M7" s="135" t="s">
        <v>47</v>
      </c>
      <c r="N7" s="168" t="s">
        <v>47</v>
      </c>
      <c r="O7" s="168" t="s">
        <v>47</v>
      </c>
      <c r="P7" s="135" t="s">
        <v>47</v>
      </c>
    </row>
    <row r="8" spans="1:16" ht="36">
      <c r="A8" s="97" t="s">
        <v>54</v>
      </c>
      <c r="B8" s="95" t="s">
        <v>55</v>
      </c>
      <c r="C8" s="135" t="s">
        <v>47</v>
      </c>
      <c r="D8" s="135" t="s">
        <v>47</v>
      </c>
      <c r="E8" s="95" t="s">
        <v>56</v>
      </c>
      <c r="F8" s="135" t="s">
        <v>47</v>
      </c>
      <c r="G8" s="135" t="s">
        <v>47</v>
      </c>
      <c r="H8" s="95" t="s">
        <v>56</v>
      </c>
      <c r="I8" s="95" t="s">
        <v>56</v>
      </c>
      <c r="J8" s="135" t="s">
        <v>47</v>
      </c>
      <c r="K8" s="135" t="s">
        <v>47</v>
      </c>
      <c r="L8" s="135" t="s">
        <v>47</v>
      </c>
      <c r="M8" s="135" t="s">
        <v>47</v>
      </c>
      <c r="N8" s="168" t="s">
        <v>47</v>
      </c>
      <c r="O8" s="168" t="s">
        <v>47</v>
      </c>
      <c r="P8" s="135" t="s">
        <v>47</v>
      </c>
    </row>
    <row r="9" spans="1:16" ht="24">
      <c r="A9" s="119" t="s">
        <v>57</v>
      </c>
      <c r="B9" s="95" t="s">
        <v>58</v>
      </c>
      <c r="C9" s="135" t="s">
        <v>59</v>
      </c>
      <c r="D9" s="135" t="s">
        <v>60</v>
      </c>
      <c r="E9" s="135" t="s">
        <v>59</v>
      </c>
      <c r="F9" s="135" t="s">
        <v>59</v>
      </c>
      <c r="G9" s="135" t="s">
        <v>61</v>
      </c>
      <c r="H9" s="135" t="s">
        <v>59</v>
      </c>
      <c r="I9" s="135" t="s">
        <v>59</v>
      </c>
      <c r="J9" s="135" t="s">
        <v>59</v>
      </c>
      <c r="K9" s="135" t="s">
        <v>62</v>
      </c>
      <c r="L9" s="135" t="s">
        <v>59</v>
      </c>
      <c r="M9" s="135" t="s">
        <v>59</v>
      </c>
      <c r="N9" s="168" t="s">
        <v>59</v>
      </c>
      <c r="O9" s="168" t="s">
        <v>62</v>
      </c>
      <c r="P9" s="135" t="s">
        <v>62</v>
      </c>
    </row>
    <row r="10" spans="1:16" ht="36">
      <c r="A10" s="96" t="s">
        <v>63</v>
      </c>
      <c r="B10" s="137" t="s">
        <v>64</v>
      </c>
      <c r="C10" s="135" t="s">
        <v>47</v>
      </c>
      <c r="D10" s="135" t="s">
        <v>47</v>
      </c>
      <c r="E10" s="138">
        <v>0.1</v>
      </c>
      <c r="F10" s="135" t="s">
        <v>47</v>
      </c>
      <c r="G10" s="135" t="s">
        <v>47</v>
      </c>
      <c r="H10" s="138">
        <v>0.1</v>
      </c>
      <c r="I10" s="138">
        <v>0.1</v>
      </c>
      <c r="J10" s="135" t="s">
        <v>47</v>
      </c>
      <c r="K10" s="135" t="s">
        <v>47</v>
      </c>
      <c r="L10" s="135" t="s">
        <v>47</v>
      </c>
      <c r="M10" s="135" t="s">
        <v>47</v>
      </c>
      <c r="N10" s="168" t="s">
        <v>47</v>
      </c>
      <c r="O10" s="168" t="s">
        <v>47</v>
      </c>
      <c r="P10" s="135" t="s">
        <v>47</v>
      </c>
    </row>
    <row r="11" spans="1:16" ht="24">
      <c r="A11" s="119" t="s">
        <v>65</v>
      </c>
      <c r="B11" s="135" t="s">
        <v>66</v>
      </c>
      <c r="C11" s="135" t="s">
        <v>47</v>
      </c>
      <c r="D11" s="135" t="s">
        <v>47</v>
      </c>
      <c r="E11" s="135" t="s">
        <v>47</v>
      </c>
      <c r="F11" s="135" t="s">
        <v>47</v>
      </c>
      <c r="G11" s="135" t="s">
        <v>47</v>
      </c>
      <c r="H11" s="135" t="s">
        <v>47</v>
      </c>
      <c r="I11" s="135" t="s">
        <v>47</v>
      </c>
      <c r="J11" s="135" t="s">
        <v>47</v>
      </c>
      <c r="K11" s="135" t="s">
        <v>47</v>
      </c>
      <c r="L11" s="135" t="s">
        <v>47</v>
      </c>
      <c r="M11" s="135" t="s">
        <v>47</v>
      </c>
      <c r="N11" s="168" t="s">
        <v>47</v>
      </c>
      <c r="O11" s="168" t="s">
        <v>47</v>
      </c>
      <c r="P11" s="135" t="s">
        <v>47</v>
      </c>
    </row>
    <row r="12" spans="1:16" ht="24">
      <c r="A12" s="119" t="s">
        <v>67</v>
      </c>
      <c r="B12" s="155"/>
      <c r="C12" s="135" t="s">
        <v>68</v>
      </c>
      <c r="D12" s="155" t="s">
        <v>69</v>
      </c>
      <c r="E12" s="135" t="s">
        <v>68</v>
      </c>
      <c r="F12" s="135" t="s">
        <v>68</v>
      </c>
      <c r="G12" s="155" t="s">
        <v>70</v>
      </c>
      <c r="H12" s="135" t="s">
        <v>68</v>
      </c>
      <c r="I12" s="135" t="s">
        <v>70</v>
      </c>
      <c r="J12" s="135" t="s">
        <v>68</v>
      </c>
      <c r="K12" s="155" t="s">
        <v>69</v>
      </c>
      <c r="L12" s="135" t="s">
        <v>68</v>
      </c>
      <c r="M12" s="155" t="s">
        <v>70</v>
      </c>
      <c r="N12" s="168" t="s">
        <v>68</v>
      </c>
      <c r="O12" s="168" t="s">
        <v>71</v>
      </c>
      <c r="P12" s="155" t="s">
        <v>69</v>
      </c>
    </row>
    <row r="13" spans="1:16" ht="24">
      <c r="A13" s="119" t="s">
        <v>73</v>
      </c>
      <c r="B13" s="161" t="s">
        <v>74</v>
      </c>
      <c r="C13" s="161" t="s">
        <v>75</v>
      </c>
      <c r="D13" s="161" t="s">
        <v>75</v>
      </c>
      <c r="E13" s="161" t="s">
        <v>75</v>
      </c>
      <c r="F13" s="161" t="s">
        <v>75</v>
      </c>
      <c r="G13" s="161" t="s">
        <v>75</v>
      </c>
      <c r="H13" s="161" t="s">
        <v>75</v>
      </c>
      <c r="I13" s="161" t="s">
        <v>75</v>
      </c>
      <c r="J13" s="161" t="s">
        <v>75</v>
      </c>
      <c r="K13" s="161" t="s">
        <v>75</v>
      </c>
      <c r="L13" s="161" t="s">
        <v>75</v>
      </c>
      <c r="M13" s="161" t="s">
        <v>75</v>
      </c>
      <c r="N13" s="178" t="s">
        <v>75</v>
      </c>
      <c r="O13" s="178" t="s">
        <v>75</v>
      </c>
      <c r="P13" s="161" t="s">
        <v>75</v>
      </c>
    </row>
    <row r="14" spans="1:16" ht="24.75" customHeight="1">
      <c r="A14" s="119" t="s">
        <v>76</v>
      </c>
      <c r="B14" s="155"/>
      <c r="C14" s="139" t="s">
        <v>77</v>
      </c>
      <c r="D14" s="139" t="s">
        <v>77</v>
      </c>
      <c r="E14" s="139" t="s">
        <v>77</v>
      </c>
      <c r="F14" s="139" t="s">
        <v>77</v>
      </c>
      <c r="G14" s="135" t="s">
        <v>78</v>
      </c>
      <c r="H14" s="139" t="s">
        <v>77</v>
      </c>
      <c r="I14" s="135" t="s">
        <v>78</v>
      </c>
      <c r="J14" s="139" t="s">
        <v>77</v>
      </c>
      <c r="K14" s="135" t="s">
        <v>79</v>
      </c>
      <c r="L14" s="139" t="s">
        <v>77</v>
      </c>
      <c r="M14" s="135" t="s">
        <v>79</v>
      </c>
      <c r="N14" s="167" t="s">
        <v>80</v>
      </c>
      <c r="O14" s="166" t="s">
        <v>77</v>
      </c>
      <c r="P14" s="135" t="s">
        <v>79</v>
      </c>
    </row>
    <row r="15" spans="1:16" ht="60">
      <c r="A15" s="119" t="s">
        <v>81</v>
      </c>
      <c r="B15" s="155"/>
      <c r="C15" s="139" t="s">
        <v>82</v>
      </c>
      <c r="D15" s="139" t="s">
        <v>82</v>
      </c>
      <c r="E15" s="135" t="s">
        <v>83</v>
      </c>
      <c r="F15" s="139" t="s">
        <v>85</v>
      </c>
      <c r="G15" s="135" t="s">
        <v>86</v>
      </c>
      <c r="H15" s="135" t="s">
        <v>87</v>
      </c>
      <c r="I15" s="135" t="s">
        <v>88</v>
      </c>
      <c r="J15" s="139" t="s">
        <v>82</v>
      </c>
      <c r="K15" s="155" t="s">
        <v>89</v>
      </c>
      <c r="L15" s="139" t="s">
        <v>82</v>
      </c>
      <c r="M15" s="155" t="s">
        <v>89</v>
      </c>
      <c r="N15" s="178" t="s">
        <v>90</v>
      </c>
      <c r="O15" s="177" t="s">
        <v>89</v>
      </c>
      <c r="P15" s="155" t="s">
        <v>89</v>
      </c>
    </row>
    <row r="16" spans="1:16">
      <c r="A16" s="119" t="s">
        <v>91</v>
      </c>
      <c r="B16" s="155"/>
      <c r="C16" s="139" t="s">
        <v>92</v>
      </c>
      <c r="D16" s="139" t="s">
        <v>92</v>
      </c>
      <c r="E16" s="97" t="s">
        <v>93</v>
      </c>
      <c r="F16" s="139" t="s">
        <v>92</v>
      </c>
      <c r="G16" s="139" t="s">
        <v>92</v>
      </c>
      <c r="H16" s="97" t="s">
        <v>93</v>
      </c>
      <c r="I16" s="97" t="s">
        <v>94</v>
      </c>
      <c r="J16" s="139" t="s">
        <v>92</v>
      </c>
      <c r="K16" s="139" t="s">
        <v>92</v>
      </c>
      <c r="L16" s="139" t="s">
        <v>92</v>
      </c>
      <c r="M16" s="139" t="s">
        <v>92</v>
      </c>
      <c r="N16" s="178" t="s">
        <v>92</v>
      </c>
      <c r="O16" s="178" t="s">
        <v>92</v>
      </c>
      <c r="P16" s="139" t="s">
        <v>92</v>
      </c>
    </row>
    <row r="17" spans="1:16" ht="24">
      <c r="A17" s="97" t="s">
        <v>95</v>
      </c>
      <c r="B17" s="155"/>
      <c r="C17" s="161" t="s">
        <v>96</v>
      </c>
      <c r="D17" s="161" t="s">
        <v>96</v>
      </c>
      <c r="E17" s="161" t="s">
        <v>97</v>
      </c>
      <c r="F17" s="161" t="s">
        <v>99</v>
      </c>
      <c r="G17" s="161" t="s">
        <v>99</v>
      </c>
      <c r="H17" s="161" t="s">
        <v>99</v>
      </c>
      <c r="I17" s="161" t="s">
        <v>99</v>
      </c>
      <c r="J17" s="161" t="s">
        <v>99</v>
      </c>
      <c r="K17" s="161" t="s">
        <v>99</v>
      </c>
      <c r="L17" s="161" t="s">
        <v>99</v>
      </c>
      <c r="M17" s="161" t="s">
        <v>99</v>
      </c>
      <c r="N17" s="178" t="s">
        <v>99</v>
      </c>
      <c r="O17" s="178" t="s">
        <v>99</v>
      </c>
      <c r="P17" s="161" t="s">
        <v>99</v>
      </c>
    </row>
    <row r="18" spans="1:16" ht="24">
      <c r="A18" s="97" t="s">
        <v>100</v>
      </c>
      <c r="B18" s="155"/>
      <c r="C18" s="139" t="s">
        <v>101</v>
      </c>
      <c r="D18" s="139" t="s">
        <v>101</v>
      </c>
      <c r="E18" s="139" t="s">
        <v>102</v>
      </c>
      <c r="F18" s="139" t="s">
        <v>101</v>
      </c>
      <c r="G18" s="139" t="s">
        <v>101</v>
      </c>
      <c r="H18" s="139" t="s">
        <v>102</v>
      </c>
      <c r="I18" s="139" t="s">
        <v>102</v>
      </c>
      <c r="J18" s="139" t="s">
        <v>101</v>
      </c>
      <c r="K18" s="139" t="s">
        <v>101</v>
      </c>
      <c r="L18" s="139" t="s">
        <v>101</v>
      </c>
      <c r="M18" s="139" t="s">
        <v>101</v>
      </c>
      <c r="N18" s="178" t="s">
        <v>101</v>
      </c>
      <c r="O18" s="178" t="s">
        <v>101</v>
      </c>
      <c r="P18" s="139" t="s">
        <v>101</v>
      </c>
    </row>
    <row r="19" spans="1:16" ht="24">
      <c r="A19" s="97" t="s">
        <v>104</v>
      </c>
      <c r="B19" s="95" t="s">
        <v>105</v>
      </c>
      <c r="C19" s="135" t="s">
        <v>47</v>
      </c>
      <c r="D19" s="135" t="s">
        <v>47</v>
      </c>
      <c r="E19" s="135" t="s">
        <v>106</v>
      </c>
      <c r="F19" s="135" t="s">
        <v>47</v>
      </c>
      <c r="G19" s="135" t="s">
        <v>47</v>
      </c>
      <c r="H19" s="135" t="s">
        <v>106</v>
      </c>
      <c r="I19" s="135" t="s">
        <v>106</v>
      </c>
      <c r="J19" s="135" t="s">
        <v>47</v>
      </c>
      <c r="K19" s="135" t="s">
        <v>47</v>
      </c>
      <c r="L19" s="135" t="s">
        <v>47</v>
      </c>
      <c r="M19" s="135" t="s">
        <v>47</v>
      </c>
      <c r="N19" s="168" t="s">
        <v>47</v>
      </c>
      <c r="O19" s="168" t="s">
        <v>47</v>
      </c>
      <c r="P19" s="135" t="s">
        <v>47</v>
      </c>
    </row>
    <row r="20" spans="1:16" ht="156" customHeight="1">
      <c r="A20" s="97" t="s">
        <v>107</v>
      </c>
      <c r="B20" s="135" t="s">
        <v>108</v>
      </c>
      <c r="C20" s="139" t="s">
        <v>89</v>
      </c>
      <c r="D20" s="135" t="s">
        <v>109</v>
      </c>
      <c r="E20" s="139" t="s">
        <v>89</v>
      </c>
      <c r="F20" s="139" t="s">
        <v>89</v>
      </c>
      <c r="G20" s="135" t="s">
        <v>110</v>
      </c>
      <c r="H20" s="139" t="s">
        <v>89</v>
      </c>
      <c r="I20" s="135" t="s">
        <v>110</v>
      </c>
      <c r="J20" s="139" t="s">
        <v>89</v>
      </c>
      <c r="K20" s="135" t="s">
        <v>111</v>
      </c>
      <c r="L20" s="139" t="s">
        <v>89</v>
      </c>
      <c r="M20" s="135" t="s">
        <v>112</v>
      </c>
      <c r="N20" s="178" t="s">
        <v>89</v>
      </c>
      <c r="O20" s="168" t="s">
        <v>113</v>
      </c>
      <c r="P20" s="135" t="s">
        <v>111</v>
      </c>
    </row>
    <row r="21" spans="1:16" ht="48">
      <c r="A21" s="97" t="s">
        <v>114</v>
      </c>
      <c r="B21" s="155"/>
      <c r="C21" s="139" t="s">
        <v>115</v>
      </c>
      <c r="D21" s="135" t="s">
        <v>116</v>
      </c>
      <c r="E21" s="139" t="s">
        <v>115</v>
      </c>
      <c r="F21" s="139" t="s">
        <v>117</v>
      </c>
      <c r="G21" s="135" t="s">
        <v>118</v>
      </c>
      <c r="H21" s="139" t="s">
        <v>119</v>
      </c>
      <c r="I21" s="135" t="s">
        <v>120</v>
      </c>
      <c r="J21" s="139" t="s">
        <v>115</v>
      </c>
      <c r="K21" s="135" t="s">
        <v>116</v>
      </c>
      <c r="L21" s="139" t="s">
        <v>115</v>
      </c>
      <c r="M21" s="135" t="s">
        <v>116</v>
      </c>
      <c r="N21" s="178" t="s">
        <v>115</v>
      </c>
      <c r="O21" s="168" t="s">
        <v>116</v>
      </c>
      <c r="P21" s="135" t="s">
        <v>116</v>
      </c>
    </row>
    <row r="22" spans="1:16" ht="36">
      <c r="A22" s="97" t="s">
        <v>121</v>
      </c>
      <c r="B22" s="155"/>
      <c r="C22" s="139" t="s">
        <v>122</v>
      </c>
      <c r="D22" s="139" t="s">
        <v>122</v>
      </c>
      <c r="E22" s="139" t="s">
        <v>122</v>
      </c>
      <c r="F22" s="139" t="s">
        <v>122</v>
      </c>
      <c r="G22" s="139" t="s">
        <v>122</v>
      </c>
      <c r="H22" s="139" t="s">
        <v>123</v>
      </c>
      <c r="I22" s="139" t="s">
        <v>123</v>
      </c>
      <c r="J22" s="139" t="s">
        <v>122</v>
      </c>
      <c r="K22" s="139" t="s">
        <v>122</v>
      </c>
      <c r="L22" s="139" t="s">
        <v>122</v>
      </c>
      <c r="M22" s="139" t="s">
        <v>122</v>
      </c>
      <c r="N22" s="178" t="s">
        <v>122</v>
      </c>
      <c r="O22" s="178" t="s">
        <v>122</v>
      </c>
      <c r="P22" s="139" t="s">
        <v>122</v>
      </c>
    </row>
    <row r="23" spans="1:16">
      <c r="A23" s="97" t="s">
        <v>124</v>
      </c>
      <c r="B23" s="155">
        <v>1</v>
      </c>
      <c r="C23" s="135" t="s">
        <v>47</v>
      </c>
      <c r="D23" s="135" t="s">
        <v>47</v>
      </c>
      <c r="E23" s="135" t="s">
        <v>47</v>
      </c>
      <c r="F23" s="135" t="s">
        <v>47</v>
      </c>
      <c r="G23" s="135" t="s">
        <v>47</v>
      </c>
      <c r="H23" s="135" t="s">
        <v>47</v>
      </c>
      <c r="I23" s="135" t="s">
        <v>47</v>
      </c>
      <c r="J23" s="135" t="s">
        <v>47</v>
      </c>
      <c r="K23" s="135" t="s">
        <v>47</v>
      </c>
      <c r="L23" s="135" t="s">
        <v>47</v>
      </c>
      <c r="M23" s="135" t="s">
        <v>47</v>
      </c>
      <c r="N23" s="168" t="s">
        <v>47</v>
      </c>
      <c r="O23" s="168" t="s">
        <v>47</v>
      </c>
      <c r="P23" s="135" t="s">
        <v>47</v>
      </c>
    </row>
    <row r="24" spans="1:16" ht="24">
      <c r="A24" s="97" t="s">
        <v>125</v>
      </c>
      <c r="B24" s="155"/>
      <c r="C24" s="139" t="s">
        <v>126</v>
      </c>
      <c r="D24" s="139" t="s">
        <v>126</v>
      </c>
      <c r="E24" s="97" t="s">
        <v>127</v>
      </c>
      <c r="F24" s="139" t="s">
        <v>126</v>
      </c>
      <c r="G24" s="139" t="s">
        <v>126</v>
      </c>
      <c r="H24" s="97" t="s">
        <v>127</v>
      </c>
      <c r="I24" s="97" t="s">
        <v>128</v>
      </c>
      <c r="J24" s="139" t="s">
        <v>126</v>
      </c>
      <c r="K24" s="139" t="s">
        <v>126</v>
      </c>
      <c r="L24" s="139" t="s">
        <v>126</v>
      </c>
      <c r="M24" s="139" t="s">
        <v>126</v>
      </c>
      <c r="N24" s="178" t="s">
        <v>126</v>
      </c>
      <c r="O24" s="178" t="s">
        <v>126</v>
      </c>
      <c r="P24" s="139" t="s">
        <v>126</v>
      </c>
    </row>
    <row r="25" spans="1:16" ht="36">
      <c r="A25" s="97" t="s">
        <v>129</v>
      </c>
      <c r="B25" s="155"/>
      <c r="C25" s="95" t="s">
        <v>130</v>
      </c>
      <c r="D25" s="95" t="s">
        <v>130</v>
      </c>
      <c r="E25" s="97" t="s">
        <v>131</v>
      </c>
      <c r="F25" s="95" t="s">
        <v>130</v>
      </c>
      <c r="G25" s="95" t="s">
        <v>130</v>
      </c>
      <c r="H25" s="97" t="s">
        <v>131</v>
      </c>
      <c r="I25" s="97" t="s">
        <v>131</v>
      </c>
      <c r="J25" s="95" t="s">
        <v>130</v>
      </c>
      <c r="K25" s="95" t="s">
        <v>130</v>
      </c>
      <c r="L25" s="95" t="s">
        <v>130</v>
      </c>
      <c r="M25" s="95" t="s">
        <v>130</v>
      </c>
      <c r="N25" s="168" t="s">
        <v>130</v>
      </c>
      <c r="O25" s="168" t="s">
        <v>130</v>
      </c>
      <c r="P25" s="95" t="s">
        <v>130</v>
      </c>
    </row>
    <row r="26" spans="1:16" ht="64.150000000000006" customHeight="1">
      <c r="A26" s="100" t="s">
        <v>132</v>
      </c>
      <c r="B26" s="142" t="s">
        <v>133</v>
      </c>
      <c r="C26" s="140" t="s">
        <v>134</v>
      </c>
      <c r="D26" s="140" t="s">
        <v>134</v>
      </c>
      <c r="E26" s="140" t="s">
        <v>135</v>
      </c>
      <c r="F26" s="140" t="s">
        <v>138</v>
      </c>
      <c r="G26" s="140" t="s">
        <v>137</v>
      </c>
      <c r="H26" s="140" t="s">
        <v>136</v>
      </c>
      <c r="I26" s="140" t="s">
        <v>136</v>
      </c>
      <c r="J26" s="140" t="s">
        <v>137</v>
      </c>
      <c r="K26" s="140" t="s">
        <v>137</v>
      </c>
      <c r="L26" s="140" t="s">
        <v>137</v>
      </c>
      <c r="M26" s="140" t="s">
        <v>137</v>
      </c>
      <c r="N26" s="124" t="s">
        <v>139</v>
      </c>
      <c r="O26" s="124" t="s">
        <v>137</v>
      </c>
      <c r="P26" s="140" t="s">
        <v>137</v>
      </c>
    </row>
    <row r="27" spans="1:16" ht="71.25" customHeight="1">
      <c r="A27" s="100" t="s">
        <v>140</v>
      </c>
      <c r="B27" s="142" t="s">
        <v>141</v>
      </c>
      <c r="C27" s="95" t="s">
        <v>142</v>
      </c>
      <c r="D27" s="95" t="s">
        <v>142</v>
      </c>
      <c r="E27" s="95" t="s">
        <v>143</v>
      </c>
      <c r="F27" s="95" t="s">
        <v>142</v>
      </c>
      <c r="G27" s="95" t="s">
        <v>142</v>
      </c>
      <c r="H27" s="95" t="s">
        <v>143</v>
      </c>
      <c r="I27" s="95" t="s">
        <v>143</v>
      </c>
      <c r="J27" s="95" t="s">
        <v>142</v>
      </c>
      <c r="K27" s="95" t="s">
        <v>142</v>
      </c>
      <c r="L27" s="95" t="s">
        <v>142</v>
      </c>
      <c r="M27" s="95" t="s">
        <v>142</v>
      </c>
      <c r="N27" s="168" t="s">
        <v>142</v>
      </c>
      <c r="O27" s="168" t="s">
        <v>142</v>
      </c>
      <c r="P27" s="95" t="s">
        <v>142</v>
      </c>
    </row>
    <row r="28" spans="1:16">
      <c r="A28" s="97" t="s">
        <v>145</v>
      </c>
      <c r="B28" s="155" t="s">
        <v>146</v>
      </c>
      <c r="C28" s="135" t="s">
        <v>47</v>
      </c>
      <c r="D28" s="135" t="s">
        <v>47</v>
      </c>
      <c r="E28" s="135" t="s">
        <v>47</v>
      </c>
      <c r="F28" s="135" t="s">
        <v>47</v>
      </c>
      <c r="G28" s="135" t="s">
        <v>47</v>
      </c>
      <c r="H28" s="135" t="s">
        <v>47</v>
      </c>
      <c r="I28" s="135" t="s">
        <v>47</v>
      </c>
      <c r="J28" s="135" t="s">
        <v>47</v>
      </c>
      <c r="K28" s="135" t="s">
        <v>47</v>
      </c>
      <c r="L28" s="135" t="s">
        <v>47</v>
      </c>
      <c r="M28" s="135" t="s">
        <v>47</v>
      </c>
      <c r="N28" s="168" t="s">
        <v>47</v>
      </c>
      <c r="O28" s="168" t="s">
        <v>47</v>
      </c>
      <c r="P28" s="135" t="s">
        <v>47</v>
      </c>
    </row>
    <row r="29" spans="1:16">
      <c r="A29" s="97" t="s">
        <v>147</v>
      </c>
      <c r="B29" s="155" t="s">
        <v>148</v>
      </c>
      <c r="C29" s="135" t="s">
        <v>47</v>
      </c>
      <c r="D29" s="135" t="s">
        <v>47</v>
      </c>
      <c r="E29" s="135" t="s">
        <v>47</v>
      </c>
      <c r="F29" s="135" t="s">
        <v>47</v>
      </c>
      <c r="G29" s="135" t="s">
        <v>47</v>
      </c>
      <c r="H29" s="135" t="s">
        <v>47</v>
      </c>
      <c r="I29" s="135" t="s">
        <v>47</v>
      </c>
      <c r="J29" s="135" t="s">
        <v>47</v>
      </c>
      <c r="K29" s="135" t="s">
        <v>47</v>
      </c>
      <c r="L29" s="135" t="s">
        <v>47</v>
      </c>
      <c r="M29" s="135" t="s">
        <v>47</v>
      </c>
      <c r="N29" s="168" t="s">
        <v>47</v>
      </c>
      <c r="O29" s="168" t="s">
        <v>47</v>
      </c>
      <c r="P29" s="135" t="s">
        <v>47</v>
      </c>
    </row>
    <row r="30" spans="1:16">
      <c r="A30" s="97" t="s">
        <v>149</v>
      </c>
      <c r="B30" s="155"/>
      <c r="C30" s="135" t="s">
        <v>150</v>
      </c>
      <c r="D30" s="135" t="s">
        <v>150</v>
      </c>
      <c r="E30" s="135" t="s">
        <v>150</v>
      </c>
      <c r="F30" s="135" t="s">
        <v>150</v>
      </c>
      <c r="G30" s="135" t="s">
        <v>150</v>
      </c>
      <c r="H30" s="135" t="s">
        <v>150</v>
      </c>
      <c r="I30" s="135" t="s">
        <v>150</v>
      </c>
      <c r="J30" s="135" t="s">
        <v>150</v>
      </c>
      <c r="K30" s="135" t="s">
        <v>150</v>
      </c>
      <c r="L30" s="135" t="s">
        <v>150</v>
      </c>
      <c r="M30" s="135" t="s">
        <v>150</v>
      </c>
      <c r="N30" s="168" t="s">
        <v>150</v>
      </c>
      <c r="O30" s="168" t="s">
        <v>150</v>
      </c>
      <c r="P30" s="135" t="s">
        <v>151</v>
      </c>
    </row>
    <row r="31" spans="1:16">
      <c r="C31" s="163"/>
      <c r="D31" s="97"/>
      <c r="E31" s="97"/>
      <c r="F31" s="163"/>
      <c r="G31" s="97"/>
      <c r="H31" s="97"/>
      <c r="I31" s="97"/>
      <c r="J31" s="163"/>
      <c r="K31" s="97"/>
      <c r="L31" s="97"/>
      <c r="M31" s="97"/>
      <c r="N31" s="177"/>
      <c r="O31" s="177"/>
      <c r="P31" s="97"/>
    </row>
    <row r="32" spans="1:16">
      <c r="A32" s="131" t="s">
        <v>152</v>
      </c>
      <c r="B32" s="171" t="s">
        <v>153</v>
      </c>
      <c r="C32" s="135"/>
      <c r="D32" s="97"/>
      <c r="E32" s="97"/>
      <c r="F32" s="135"/>
      <c r="G32" s="97"/>
      <c r="H32" s="97"/>
      <c r="I32" s="97"/>
      <c r="J32" s="135"/>
      <c r="K32" s="97"/>
      <c r="L32" s="97"/>
      <c r="M32" s="97"/>
      <c r="N32" s="177"/>
      <c r="O32" s="177"/>
      <c r="P32" s="97"/>
    </row>
    <row r="33" spans="1:16">
      <c r="A33" s="100" t="s">
        <v>154</v>
      </c>
      <c r="B33" s="142" t="s">
        <v>155</v>
      </c>
      <c r="C33" s="143" t="s">
        <v>47</v>
      </c>
      <c r="D33" s="143" t="s">
        <v>47</v>
      </c>
      <c r="E33" s="143" t="s">
        <v>47</v>
      </c>
      <c r="F33" s="143" t="s">
        <v>47</v>
      </c>
      <c r="G33" s="143" t="s">
        <v>47</v>
      </c>
      <c r="H33" s="143" t="s">
        <v>47</v>
      </c>
      <c r="I33" s="143" t="s">
        <v>47</v>
      </c>
      <c r="J33" s="143" t="s">
        <v>47</v>
      </c>
      <c r="K33" s="143" t="s">
        <v>47</v>
      </c>
      <c r="L33" s="143" t="s">
        <v>47</v>
      </c>
      <c r="M33" s="143" t="s">
        <v>47</v>
      </c>
      <c r="N33" s="169" t="s">
        <v>47</v>
      </c>
      <c r="O33" s="169" t="s">
        <v>47</v>
      </c>
      <c r="P33" s="143" t="s">
        <v>47</v>
      </c>
    </row>
    <row r="34" spans="1:16">
      <c r="A34" s="100" t="s">
        <v>156</v>
      </c>
      <c r="B34" s="142" t="s">
        <v>157</v>
      </c>
      <c r="C34" s="140" t="s">
        <v>158</v>
      </c>
      <c r="D34" s="140" t="s">
        <v>158</v>
      </c>
      <c r="E34" s="140" t="s">
        <v>158</v>
      </c>
      <c r="F34" s="140" t="s">
        <v>158</v>
      </c>
      <c r="G34" s="140" t="s">
        <v>158</v>
      </c>
      <c r="H34" s="140" t="s">
        <v>158</v>
      </c>
      <c r="I34" s="140" t="s">
        <v>158</v>
      </c>
      <c r="J34" s="140" t="s">
        <v>158</v>
      </c>
      <c r="K34" s="140" t="s">
        <v>158</v>
      </c>
      <c r="L34" s="140" t="s">
        <v>158</v>
      </c>
      <c r="M34" s="140" t="s">
        <v>158</v>
      </c>
      <c r="N34" s="124" t="s">
        <v>158</v>
      </c>
      <c r="O34" s="124" t="s">
        <v>158</v>
      </c>
      <c r="P34" s="140" t="s">
        <v>158</v>
      </c>
    </row>
    <row r="35" spans="1:16">
      <c r="A35" s="100" t="s">
        <v>159</v>
      </c>
      <c r="B35" s="144"/>
      <c r="C35" s="142">
        <v>1</v>
      </c>
      <c r="D35" s="142">
        <v>1</v>
      </c>
      <c r="E35" s="142">
        <v>1</v>
      </c>
      <c r="F35" s="142">
        <v>1</v>
      </c>
      <c r="G35" s="142">
        <v>1</v>
      </c>
      <c r="H35" s="142">
        <v>1</v>
      </c>
      <c r="I35" s="142">
        <v>1</v>
      </c>
      <c r="J35" s="142">
        <v>1</v>
      </c>
      <c r="K35" s="142">
        <v>1</v>
      </c>
      <c r="L35" s="142">
        <v>1</v>
      </c>
      <c r="M35" s="142">
        <v>1</v>
      </c>
      <c r="N35" s="104">
        <v>1</v>
      </c>
      <c r="O35" s="104">
        <v>1</v>
      </c>
      <c r="P35" s="142">
        <v>1</v>
      </c>
    </row>
    <row r="36" spans="1:16" ht="14.25" customHeight="1">
      <c r="A36" s="215" t="s">
        <v>160</v>
      </c>
      <c r="B36" s="216" t="s">
        <v>161</v>
      </c>
      <c r="C36" s="211" t="s">
        <v>47</v>
      </c>
      <c r="D36" s="211" t="s">
        <v>47</v>
      </c>
      <c r="E36" s="211" t="s">
        <v>47</v>
      </c>
      <c r="F36" s="211" t="s">
        <v>47</v>
      </c>
      <c r="G36" s="211" t="s">
        <v>47</v>
      </c>
      <c r="H36" s="211" t="s">
        <v>47</v>
      </c>
      <c r="I36" s="211" t="s">
        <v>47</v>
      </c>
      <c r="J36" s="211" t="s">
        <v>47</v>
      </c>
      <c r="K36" s="211" t="s">
        <v>47</v>
      </c>
      <c r="L36" s="211" t="s">
        <v>47</v>
      </c>
      <c r="M36" s="211" t="s">
        <v>47</v>
      </c>
      <c r="N36" s="212" t="s">
        <v>47</v>
      </c>
      <c r="O36" s="212" t="s">
        <v>47</v>
      </c>
      <c r="P36" s="211" t="s">
        <v>47</v>
      </c>
    </row>
    <row r="37" spans="1:16">
      <c r="A37" s="215"/>
      <c r="B37" s="217"/>
      <c r="C37" s="211"/>
      <c r="D37" s="211"/>
      <c r="E37" s="211"/>
      <c r="F37" s="211"/>
      <c r="G37" s="211"/>
      <c r="H37" s="211"/>
      <c r="I37" s="211"/>
      <c r="J37" s="211"/>
      <c r="K37" s="211"/>
      <c r="L37" s="211"/>
      <c r="M37" s="211"/>
      <c r="N37" s="212"/>
      <c r="O37" s="212"/>
      <c r="P37" s="211"/>
    </row>
    <row r="38" spans="1:16">
      <c r="A38" s="100" t="s">
        <v>162</v>
      </c>
      <c r="B38" s="143" t="s">
        <v>163</v>
      </c>
      <c r="C38" s="142" t="s">
        <v>47</v>
      </c>
      <c r="D38" s="142" t="s">
        <v>47</v>
      </c>
      <c r="E38" s="142" t="s">
        <v>47</v>
      </c>
      <c r="F38" s="142" t="s">
        <v>47</v>
      </c>
      <c r="G38" s="142" t="s">
        <v>47</v>
      </c>
      <c r="H38" s="142" t="s">
        <v>47</v>
      </c>
      <c r="I38" s="142" t="s">
        <v>47</v>
      </c>
      <c r="J38" s="142" t="s">
        <v>47</v>
      </c>
      <c r="K38" s="142" t="s">
        <v>47</v>
      </c>
      <c r="L38" s="142" t="s">
        <v>47</v>
      </c>
      <c r="M38" s="142" t="s">
        <v>47</v>
      </c>
      <c r="N38" s="104" t="s">
        <v>47</v>
      </c>
      <c r="O38" s="104" t="s">
        <v>47</v>
      </c>
      <c r="P38" s="142" t="s">
        <v>47</v>
      </c>
    </row>
    <row r="39" spans="1:16" ht="36">
      <c r="A39" s="100" t="s">
        <v>164</v>
      </c>
      <c r="B39" s="142" t="s">
        <v>165</v>
      </c>
      <c r="C39" s="142" t="s">
        <v>165</v>
      </c>
      <c r="D39" s="142" t="s">
        <v>165</v>
      </c>
      <c r="E39" s="142" t="s">
        <v>165</v>
      </c>
      <c r="F39" s="142" t="s">
        <v>165</v>
      </c>
      <c r="G39" s="142" t="s">
        <v>165</v>
      </c>
      <c r="H39" s="142" t="s">
        <v>165</v>
      </c>
      <c r="I39" s="142" t="s">
        <v>165</v>
      </c>
      <c r="J39" s="142" t="s">
        <v>165</v>
      </c>
      <c r="K39" s="142" t="s">
        <v>165</v>
      </c>
      <c r="L39" s="142" t="s">
        <v>165</v>
      </c>
      <c r="M39" s="142" t="s">
        <v>165</v>
      </c>
      <c r="N39" s="104" t="s">
        <v>165</v>
      </c>
      <c r="O39" s="104" t="s">
        <v>165</v>
      </c>
      <c r="P39" s="142" t="s">
        <v>165</v>
      </c>
    </row>
    <row r="40" spans="1:16" ht="36">
      <c r="A40" s="100" t="s">
        <v>166</v>
      </c>
      <c r="B40" s="142" t="s">
        <v>165</v>
      </c>
      <c r="C40" s="142" t="s">
        <v>165</v>
      </c>
      <c r="D40" s="142" t="s">
        <v>165</v>
      </c>
      <c r="E40" s="142" t="s">
        <v>165</v>
      </c>
      <c r="F40" s="142" t="s">
        <v>165</v>
      </c>
      <c r="G40" s="142" t="s">
        <v>165</v>
      </c>
      <c r="H40" s="142" t="s">
        <v>165</v>
      </c>
      <c r="I40" s="142" t="s">
        <v>165</v>
      </c>
      <c r="J40" s="142" t="s">
        <v>165</v>
      </c>
      <c r="K40" s="142" t="s">
        <v>165</v>
      </c>
      <c r="L40" s="142" t="s">
        <v>165</v>
      </c>
      <c r="M40" s="142" t="s">
        <v>165</v>
      </c>
      <c r="N40" s="104" t="s">
        <v>165</v>
      </c>
      <c r="O40" s="104" t="s">
        <v>165</v>
      </c>
      <c r="P40" s="142" t="s">
        <v>165</v>
      </c>
    </row>
    <row r="41" spans="1:16" ht="24">
      <c r="A41" s="100" t="s">
        <v>167</v>
      </c>
      <c r="B41" s="142" t="s">
        <v>168</v>
      </c>
      <c r="C41" s="142" t="s">
        <v>47</v>
      </c>
      <c r="D41" s="142" t="s">
        <v>47</v>
      </c>
      <c r="E41" s="142" t="s">
        <v>47</v>
      </c>
      <c r="F41" s="142" t="s">
        <v>47</v>
      </c>
      <c r="G41" s="142" t="s">
        <v>47</v>
      </c>
      <c r="H41" s="142" t="s">
        <v>47</v>
      </c>
      <c r="I41" s="142" t="s">
        <v>47</v>
      </c>
      <c r="J41" s="142" t="s">
        <v>47</v>
      </c>
      <c r="K41" s="142" t="s">
        <v>47</v>
      </c>
      <c r="L41" s="142" t="s">
        <v>47</v>
      </c>
      <c r="M41" s="142" t="s">
        <v>47</v>
      </c>
      <c r="N41" s="104" t="s">
        <v>47</v>
      </c>
      <c r="O41" s="104" t="s">
        <v>47</v>
      </c>
      <c r="P41" s="142" t="s">
        <v>47</v>
      </c>
    </row>
    <row r="42" spans="1:16" ht="24">
      <c r="A42" s="100" t="s">
        <v>169</v>
      </c>
      <c r="B42" s="142" t="s">
        <v>165</v>
      </c>
      <c r="C42" s="142" t="s">
        <v>165</v>
      </c>
      <c r="D42" s="142" t="s">
        <v>165</v>
      </c>
      <c r="E42" s="142" t="s">
        <v>165</v>
      </c>
      <c r="F42" s="142" t="s">
        <v>165</v>
      </c>
      <c r="G42" s="142" t="s">
        <v>165</v>
      </c>
      <c r="H42" s="142" t="s">
        <v>165</v>
      </c>
      <c r="I42" s="142" t="s">
        <v>165</v>
      </c>
      <c r="J42" s="142" t="s">
        <v>165</v>
      </c>
      <c r="K42" s="142" t="s">
        <v>165</v>
      </c>
      <c r="L42" s="142" t="s">
        <v>165</v>
      </c>
      <c r="M42" s="142" t="s">
        <v>165</v>
      </c>
      <c r="N42" s="104" t="s">
        <v>165</v>
      </c>
      <c r="O42" s="104" t="s">
        <v>165</v>
      </c>
      <c r="P42" s="142" t="s">
        <v>165</v>
      </c>
    </row>
    <row r="43" spans="1:16" ht="24">
      <c r="A43" s="100" t="s">
        <v>170</v>
      </c>
      <c r="B43" s="142" t="s">
        <v>165</v>
      </c>
      <c r="C43" s="142" t="s">
        <v>165</v>
      </c>
      <c r="D43" s="142" t="s">
        <v>165</v>
      </c>
      <c r="E43" s="142" t="s">
        <v>165</v>
      </c>
      <c r="F43" s="142" t="s">
        <v>165</v>
      </c>
      <c r="G43" s="142" t="s">
        <v>165</v>
      </c>
      <c r="H43" s="142" t="s">
        <v>165</v>
      </c>
      <c r="I43" s="142" t="s">
        <v>165</v>
      </c>
      <c r="J43" s="142" t="s">
        <v>165</v>
      </c>
      <c r="K43" s="142" t="s">
        <v>165</v>
      </c>
      <c r="L43" s="142" t="s">
        <v>165</v>
      </c>
      <c r="M43" s="142" t="s">
        <v>165</v>
      </c>
      <c r="N43" s="104" t="s">
        <v>165</v>
      </c>
      <c r="O43" s="104" t="s">
        <v>165</v>
      </c>
      <c r="P43" s="142" t="s">
        <v>165</v>
      </c>
    </row>
    <row r="44" spans="1:16">
      <c r="A44" s="129" t="s">
        <v>171</v>
      </c>
      <c r="D44" s="146"/>
      <c r="G44" s="146"/>
      <c r="K44" s="146"/>
      <c r="N44" s="123"/>
      <c r="O44" s="123"/>
    </row>
  </sheetData>
  <mergeCells count="21">
    <mergeCell ref="J36:J37"/>
    <mergeCell ref="L2:M2"/>
    <mergeCell ref="N2:O2"/>
    <mergeCell ref="A36:A37"/>
    <mergeCell ref="B36:B37"/>
    <mergeCell ref="C36:C37"/>
    <mergeCell ref="D36:D37"/>
    <mergeCell ref="E36:E37"/>
    <mergeCell ref="F36:F37"/>
    <mergeCell ref="G36:G37"/>
    <mergeCell ref="H36:H37"/>
    <mergeCell ref="I36:I37"/>
    <mergeCell ref="C2:E2"/>
    <mergeCell ref="F2:I2"/>
    <mergeCell ref="J2:K2"/>
    <mergeCell ref="P36:P37"/>
    <mergeCell ref="K36:K37"/>
    <mergeCell ref="L36:L37"/>
    <mergeCell ref="M36:M37"/>
    <mergeCell ref="N36:N37"/>
    <mergeCell ref="O36:O37"/>
  </mergeCells>
  <phoneticPr fontId="1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90" zoomScaleNormal="90" workbookViewId="0">
      <pane xSplit="2" ySplit="3" topLeftCell="K10" activePane="bottomRight" state="frozen"/>
      <selection pane="topRight"/>
      <selection pane="bottomLeft"/>
      <selection pane="bottomRight" activeCell="L9" sqref="L9"/>
    </sheetView>
  </sheetViews>
  <sheetFormatPr defaultColWidth="9.28515625" defaultRowHeight="14.25"/>
  <cols>
    <col min="1" max="1" width="29.42578125" style="84" customWidth="1"/>
    <col min="2" max="2" width="44.42578125" style="145" customWidth="1"/>
    <col min="3" max="3" width="31.42578125" style="130" customWidth="1"/>
    <col min="4" max="5" width="31.42578125" style="85" customWidth="1"/>
    <col min="6" max="6" width="31.42578125" style="130" customWidth="1"/>
    <col min="7" max="12" width="31.42578125" style="85" customWidth="1"/>
    <col min="13" max="16384" width="9.28515625" style="84"/>
  </cols>
  <sheetData>
    <row r="1" spans="1:12">
      <c r="A1" s="131" t="s">
        <v>37</v>
      </c>
      <c r="B1" s="146"/>
    </row>
    <row r="2" spans="1:12" ht="24">
      <c r="A2" s="131" t="s">
        <v>38</v>
      </c>
      <c r="B2" s="171" t="s">
        <v>39</v>
      </c>
      <c r="C2" s="218" t="s">
        <v>5</v>
      </c>
      <c r="D2" s="219"/>
      <c r="E2" s="220"/>
      <c r="F2" s="218" t="s">
        <v>12</v>
      </c>
      <c r="G2" s="219"/>
      <c r="H2" s="219"/>
      <c r="I2" s="220"/>
      <c r="J2" s="90" t="s">
        <v>20</v>
      </c>
      <c r="K2" s="218" t="s">
        <v>506</v>
      </c>
      <c r="L2" s="219"/>
    </row>
    <row r="3" spans="1:12">
      <c r="A3" s="131"/>
      <c r="B3" s="171"/>
      <c r="C3" s="132" t="s">
        <v>41</v>
      </c>
      <c r="D3" s="133" t="s">
        <v>42</v>
      </c>
      <c r="E3" s="132" t="s">
        <v>43</v>
      </c>
      <c r="F3" s="132" t="s">
        <v>41</v>
      </c>
      <c r="G3" s="133" t="s">
        <v>42</v>
      </c>
      <c r="H3" s="132" t="s">
        <v>43</v>
      </c>
      <c r="I3" s="133" t="s">
        <v>44</v>
      </c>
      <c r="J3" s="147" t="s">
        <v>42</v>
      </c>
      <c r="K3" s="132" t="s">
        <v>41</v>
      </c>
      <c r="L3" s="133" t="s">
        <v>42</v>
      </c>
    </row>
    <row r="4" spans="1:12">
      <c r="A4" s="97" t="s">
        <v>45</v>
      </c>
      <c r="B4" s="155" t="s">
        <v>46</v>
      </c>
      <c r="C4" s="135" t="s">
        <v>47</v>
      </c>
      <c r="D4" s="135" t="s">
        <v>47</v>
      </c>
      <c r="E4" s="136" t="s">
        <v>172</v>
      </c>
      <c r="F4" s="135" t="s">
        <v>47</v>
      </c>
      <c r="G4" s="135" t="s">
        <v>47</v>
      </c>
      <c r="H4" s="136" t="s">
        <v>172</v>
      </c>
      <c r="I4" s="136" t="s">
        <v>172</v>
      </c>
      <c r="J4" s="148" t="s">
        <v>47</v>
      </c>
      <c r="K4" s="135" t="s">
        <v>47</v>
      </c>
      <c r="L4" s="135" t="s">
        <v>47</v>
      </c>
    </row>
    <row r="5" spans="1:12">
      <c r="A5" s="97" t="s">
        <v>48</v>
      </c>
      <c r="B5" s="155"/>
      <c r="C5" s="135" t="s">
        <v>49</v>
      </c>
      <c r="D5" s="97" t="s">
        <v>50</v>
      </c>
      <c r="E5" s="135" t="s">
        <v>49</v>
      </c>
      <c r="F5" s="135" t="s">
        <v>49</v>
      </c>
      <c r="G5" s="97" t="s">
        <v>50</v>
      </c>
      <c r="H5" s="135" t="s">
        <v>49</v>
      </c>
      <c r="I5" s="97" t="s">
        <v>50</v>
      </c>
      <c r="J5" s="148" t="s">
        <v>50</v>
      </c>
      <c r="K5" s="135" t="s">
        <v>49</v>
      </c>
      <c r="L5" s="97" t="s">
        <v>50</v>
      </c>
    </row>
    <row r="6" spans="1:12">
      <c r="A6" s="119" t="s">
        <v>51</v>
      </c>
      <c r="B6" s="155"/>
      <c r="C6" s="135" t="s">
        <v>47</v>
      </c>
      <c r="D6" s="135" t="s">
        <v>47</v>
      </c>
      <c r="E6" s="135" t="s">
        <v>47</v>
      </c>
      <c r="F6" s="135" t="s">
        <v>47</v>
      </c>
      <c r="G6" s="135" t="s">
        <v>47</v>
      </c>
      <c r="H6" s="135" t="s">
        <v>47</v>
      </c>
      <c r="I6" s="135" t="s">
        <v>47</v>
      </c>
      <c r="J6" s="148" t="s">
        <v>47</v>
      </c>
      <c r="K6" s="135" t="s">
        <v>47</v>
      </c>
      <c r="L6" s="135" t="s">
        <v>47</v>
      </c>
    </row>
    <row r="7" spans="1:12">
      <c r="A7" s="119" t="s">
        <v>52</v>
      </c>
      <c r="B7" s="155" t="s">
        <v>173</v>
      </c>
      <c r="C7" s="135" t="s">
        <v>47</v>
      </c>
      <c r="D7" s="135" t="s">
        <v>47</v>
      </c>
      <c r="E7" s="135" t="s">
        <v>47</v>
      </c>
      <c r="F7" s="135" t="s">
        <v>47</v>
      </c>
      <c r="G7" s="135" t="s">
        <v>47</v>
      </c>
      <c r="H7" s="135" t="s">
        <v>47</v>
      </c>
      <c r="I7" s="135" t="s">
        <v>47</v>
      </c>
      <c r="J7" s="148" t="s">
        <v>47</v>
      </c>
      <c r="K7" s="135" t="s">
        <v>47</v>
      </c>
      <c r="L7" s="135" t="s">
        <v>47</v>
      </c>
    </row>
    <row r="8" spans="1:12" ht="36">
      <c r="A8" s="97" t="s">
        <v>174</v>
      </c>
      <c r="B8" s="95" t="s">
        <v>55</v>
      </c>
      <c r="C8" s="135" t="s">
        <v>47</v>
      </c>
      <c r="D8" s="135" t="s">
        <v>47</v>
      </c>
      <c r="E8" s="95" t="s">
        <v>56</v>
      </c>
      <c r="F8" s="135" t="s">
        <v>47</v>
      </c>
      <c r="G8" s="135" t="s">
        <v>47</v>
      </c>
      <c r="H8" s="95" t="s">
        <v>56</v>
      </c>
      <c r="I8" s="95" t="s">
        <v>56</v>
      </c>
      <c r="J8" s="148" t="s">
        <v>47</v>
      </c>
      <c r="K8" s="135" t="s">
        <v>47</v>
      </c>
      <c r="L8" s="135" t="s">
        <v>47</v>
      </c>
    </row>
    <row r="9" spans="1:12" ht="24">
      <c r="A9" s="119" t="s">
        <v>57</v>
      </c>
      <c r="B9" s="95" t="s">
        <v>58</v>
      </c>
      <c r="C9" s="135" t="s">
        <v>59</v>
      </c>
      <c r="D9" s="135" t="s">
        <v>60</v>
      </c>
      <c r="E9" s="135" t="s">
        <v>59</v>
      </c>
      <c r="F9" s="135" t="s">
        <v>59</v>
      </c>
      <c r="G9" s="135" t="s">
        <v>61</v>
      </c>
      <c r="H9" s="135" t="s">
        <v>59</v>
      </c>
      <c r="I9" s="135" t="s">
        <v>59</v>
      </c>
      <c r="J9" s="149" t="s">
        <v>62</v>
      </c>
      <c r="K9" s="135" t="s">
        <v>59</v>
      </c>
      <c r="L9" s="135" t="s">
        <v>503</v>
      </c>
    </row>
    <row r="10" spans="1:12" ht="60">
      <c r="A10" s="96" t="s">
        <v>63</v>
      </c>
      <c r="B10" s="137" t="s">
        <v>64</v>
      </c>
      <c r="C10" s="135" t="s">
        <v>47</v>
      </c>
      <c r="D10" s="135" t="s">
        <v>47</v>
      </c>
      <c r="E10" s="138">
        <v>0.1</v>
      </c>
      <c r="F10" s="135" t="s">
        <v>47</v>
      </c>
      <c r="G10" s="135" t="s">
        <v>47</v>
      </c>
      <c r="H10" s="138">
        <v>0.1</v>
      </c>
      <c r="I10" s="138">
        <v>0.1</v>
      </c>
      <c r="J10" s="148" t="s">
        <v>47</v>
      </c>
      <c r="K10" s="135" t="s">
        <v>47</v>
      </c>
      <c r="L10" s="135" t="s">
        <v>47</v>
      </c>
    </row>
    <row r="11" spans="1:12" ht="24">
      <c r="A11" s="119" t="s">
        <v>65</v>
      </c>
      <c r="B11" s="135" t="s">
        <v>66</v>
      </c>
      <c r="C11" s="135" t="s">
        <v>47</v>
      </c>
      <c r="D11" s="135" t="s">
        <v>47</v>
      </c>
      <c r="E11" s="135" t="s">
        <v>47</v>
      </c>
      <c r="F11" s="135" t="s">
        <v>47</v>
      </c>
      <c r="G11" s="135" t="s">
        <v>47</v>
      </c>
      <c r="H11" s="135" t="s">
        <v>47</v>
      </c>
      <c r="I11" s="135" t="s">
        <v>47</v>
      </c>
      <c r="J11" s="148" t="s">
        <v>47</v>
      </c>
      <c r="K11" s="135" t="s">
        <v>47</v>
      </c>
      <c r="L11" s="135" t="s">
        <v>47</v>
      </c>
    </row>
    <row r="12" spans="1:12" ht="24">
      <c r="A12" s="119" t="s">
        <v>67</v>
      </c>
      <c r="B12" s="155"/>
      <c r="C12" s="135" t="s">
        <v>175</v>
      </c>
      <c r="D12" s="97" t="s">
        <v>69</v>
      </c>
      <c r="E12" s="135" t="s">
        <v>175</v>
      </c>
      <c r="F12" s="135" t="s">
        <v>175</v>
      </c>
      <c r="G12" s="97" t="s">
        <v>70</v>
      </c>
      <c r="H12" s="135" t="s">
        <v>175</v>
      </c>
      <c r="I12" s="97" t="s">
        <v>70</v>
      </c>
      <c r="J12" s="149" t="s">
        <v>71</v>
      </c>
      <c r="K12" s="135" t="s">
        <v>175</v>
      </c>
      <c r="L12" s="97" t="s">
        <v>69</v>
      </c>
    </row>
    <row r="13" spans="1:12">
      <c r="A13" s="119" t="s">
        <v>73</v>
      </c>
      <c r="B13" s="155"/>
      <c r="C13" s="153" t="s">
        <v>176</v>
      </c>
      <c r="D13" s="97" t="s">
        <v>177</v>
      </c>
      <c r="E13" s="153" t="s">
        <v>176</v>
      </c>
      <c r="F13" s="151" t="s">
        <v>177</v>
      </c>
      <c r="G13" s="151" t="s">
        <v>177</v>
      </c>
      <c r="H13" s="151" t="s">
        <v>177</v>
      </c>
      <c r="I13" s="151" t="s">
        <v>177</v>
      </c>
      <c r="J13" s="148" t="s">
        <v>177</v>
      </c>
      <c r="K13" s="97" t="s">
        <v>177</v>
      </c>
      <c r="L13" s="97" t="s">
        <v>177</v>
      </c>
    </row>
    <row r="14" spans="1:12">
      <c r="A14" s="119" t="s">
        <v>178</v>
      </c>
      <c r="B14" s="155"/>
      <c r="C14" s="152" t="s">
        <v>179</v>
      </c>
      <c r="D14" s="97" t="s">
        <v>180</v>
      </c>
      <c r="E14" s="152" t="s">
        <v>179</v>
      </c>
      <c r="F14" s="139" t="s">
        <v>181</v>
      </c>
      <c r="G14" s="97" t="s">
        <v>180</v>
      </c>
      <c r="H14" s="139" t="s">
        <v>182</v>
      </c>
      <c r="I14" s="139" t="s">
        <v>182</v>
      </c>
      <c r="J14" s="148" t="s">
        <v>183</v>
      </c>
      <c r="K14" s="152" t="s">
        <v>179</v>
      </c>
      <c r="L14" s="97" t="s">
        <v>180</v>
      </c>
    </row>
    <row r="15" spans="1:12">
      <c r="A15" s="119" t="s">
        <v>95</v>
      </c>
      <c r="B15" s="155"/>
      <c r="C15" s="152" t="s">
        <v>179</v>
      </c>
      <c r="D15" s="152" t="s">
        <v>179</v>
      </c>
      <c r="E15" s="152" t="s">
        <v>179</v>
      </c>
      <c r="F15" s="152" t="s">
        <v>179</v>
      </c>
      <c r="G15" s="152" t="s">
        <v>179</v>
      </c>
      <c r="H15" s="152" t="s">
        <v>179</v>
      </c>
      <c r="I15" s="152" t="s">
        <v>179</v>
      </c>
      <c r="J15" s="148" t="s">
        <v>89</v>
      </c>
      <c r="K15" s="152" t="s">
        <v>179</v>
      </c>
      <c r="L15" s="152" t="s">
        <v>179</v>
      </c>
    </row>
    <row r="16" spans="1:12" ht="25.5">
      <c r="A16" s="119" t="s">
        <v>100</v>
      </c>
      <c r="B16" s="155"/>
      <c r="C16" s="152" t="s">
        <v>184</v>
      </c>
      <c r="D16" s="97" t="s">
        <v>185</v>
      </c>
      <c r="E16" s="152" t="s">
        <v>186</v>
      </c>
      <c r="F16" s="153" t="s">
        <v>185</v>
      </c>
      <c r="G16" s="97" t="s">
        <v>185</v>
      </c>
      <c r="H16" s="153" t="s">
        <v>185</v>
      </c>
      <c r="I16" s="97" t="s">
        <v>185</v>
      </c>
      <c r="J16" s="148" t="s">
        <v>185</v>
      </c>
      <c r="K16" s="195" t="s">
        <v>508</v>
      </c>
      <c r="L16" s="97" t="s">
        <v>185</v>
      </c>
    </row>
    <row r="17" spans="1:12" ht="24">
      <c r="A17" s="97" t="s">
        <v>104</v>
      </c>
      <c r="B17" s="95" t="s">
        <v>105</v>
      </c>
      <c r="C17" s="135" t="s">
        <v>47</v>
      </c>
      <c r="D17" s="135" t="s">
        <v>47</v>
      </c>
      <c r="E17" s="135" t="s">
        <v>187</v>
      </c>
      <c r="F17" s="135" t="s">
        <v>47</v>
      </c>
      <c r="G17" s="135" t="s">
        <v>47</v>
      </c>
      <c r="H17" s="135" t="s">
        <v>187</v>
      </c>
      <c r="I17" s="135" t="s">
        <v>187</v>
      </c>
      <c r="J17" s="148" t="s">
        <v>47</v>
      </c>
      <c r="K17" s="135" t="s">
        <v>507</v>
      </c>
      <c r="L17" s="135" t="s">
        <v>47</v>
      </c>
    </row>
    <row r="18" spans="1:12" ht="96">
      <c r="A18" s="119" t="s">
        <v>107</v>
      </c>
      <c r="B18" s="95" t="s">
        <v>108</v>
      </c>
      <c r="C18" s="135" t="s">
        <v>188</v>
      </c>
      <c r="D18" s="135" t="s">
        <v>189</v>
      </c>
      <c r="E18" s="135" t="s">
        <v>190</v>
      </c>
      <c r="F18" s="135" t="s">
        <v>191</v>
      </c>
      <c r="G18" s="135" t="s">
        <v>191</v>
      </c>
      <c r="H18" s="135" t="s">
        <v>191</v>
      </c>
      <c r="I18" s="135" t="s">
        <v>191</v>
      </c>
      <c r="J18" s="149" t="s">
        <v>192</v>
      </c>
      <c r="K18" s="135" t="s">
        <v>509</v>
      </c>
      <c r="L18" s="135" t="s">
        <v>189</v>
      </c>
    </row>
    <row r="19" spans="1:12" ht="60" customHeight="1">
      <c r="A19" s="100" t="s">
        <v>132</v>
      </c>
      <c r="B19" s="142" t="s">
        <v>133</v>
      </c>
      <c r="C19" s="140" t="s">
        <v>193</v>
      </c>
      <c r="D19" s="140" t="s">
        <v>193</v>
      </c>
      <c r="E19" s="140" t="s">
        <v>193</v>
      </c>
      <c r="F19" s="140" t="s">
        <v>193</v>
      </c>
      <c r="G19" s="140" t="s">
        <v>193</v>
      </c>
      <c r="H19" s="140" t="s">
        <v>193</v>
      </c>
      <c r="I19" s="140" t="s">
        <v>193</v>
      </c>
      <c r="J19" s="149" t="s">
        <v>194</v>
      </c>
      <c r="K19" s="140" t="s">
        <v>193</v>
      </c>
      <c r="L19" s="140" t="s">
        <v>193</v>
      </c>
    </row>
    <row r="20" spans="1:12" ht="71.25" customHeight="1">
      <c r="A20" s="100" t="s">
        <v>140</v>
      </c>
      <c r="B20" s="142" t="s">
        <v>141</v>
      </c>
      <c r="C20" s="141" t="s">
        <v>195</v>
      </c>
      <c r="D20" s="95" t="s">
        <v>196</v>
      </c>
      <c r="E20" s="141" t="s">
        <v>197</v>
      </c>
      <c r="F20" s="95" t="s">
        <v>198</v>
      </c>
      <c r="G20" s="95" t="s">
        <v>198</v>
      </c>
      <c r="H20" s="95" t="s">
        <v>198</v>
      </c>
      <c r="I20" s="95" t="s">
        <v>198</v>
      </c>
      <c r="J20" s="149" t="s">
        <v>199</v>
      </c>
      <c r="K20" s="196" t="s">
        <v>510</v>
      </c>
      <c r="L20" s="95" t="s">
        <v>196</v>
      </c>
    </row>
    <row r="21" spans="1:12" ht="22.5" customHeight="1">
      <c r="A21" s="100" t="s">
        <v>200</v>
      </c>
      <c r="B21" s="142">
        <v>1</v>
      </c>
      <c r="C21" s="135" t="s">
        <v>47</v>
      </c>
      <c r="D21" s="135" t="s">
        <v>47</v>
      </c>
      <c r="E21" s="135" t="s">
        <v>47</v>
      </c>
      <c r="F21" s="135" t="s">
        <v>47</v>
      </c>
      <c r="G21" s="135" t="s">
        <v>47</v>
      </c>
      <c r="H21" s="135" t="s">
        <v>47</v>
      </c>
      <c r="I21" s="135" t="s">
        <v>47</v>
      </c>
      <c r="J21" s="148" t="s">
        <v>47</v>
      </c>
      <c r="K21" s="135" t="s">
        <v>47</v>
      </c>
      <c r="L21" s="135" t="s">
        <v>47</v>
      </c>
    </row>
    <row r="22" spans="1:12" ht="25.5" customHeight="1">
      <c r="A22" s="100" t="s">
        <v>201</v>
      </c>
      <c r="B22" s="142"/>
      <c r="C22" s="141" t="s">
        <v>202</v>
      </c>
      <c r="D22" s="141" t="s">
        <v>202</v>
      </c>
      <c r="E22" s="97" t="s">
        <v>131</v>
      </c>
      <c r="F22" s="141" t="s">
        <v>202</v>
      </c>
      <c r="G22" s="141" t="s">
        <v>202</v>
      </c>
      <c r="H22" s="97" t="s">
        <v>131</v>
      </c>
      <c r="I22" s="97" t="s">
        <v>203</v>
      </c>
      <c r="J22" s="149" t="s">
        <v>202</v>
      </c>
      <c r="K22" s="141" t="s">
        <v>202</v>
      </c>
      <c r="L22" s="141" t="s">
        <v>202</v>
      </c>
    </row>
    <row r="23" spans="1:12">
      <c r="A23" s="119" t="s">
        <v>145</v>
      </c>
      <c r="B23" s="155" t="s">
        <v>146</v>
      </c>
      <c r="C23" s="135" t="s">
        <v>47</v>
      </c>
      <c r="D23" s="135" t="s">
        <v>47</v>
      </c>
      <c r="E23" s="135" t="s">
        <v>47</v>
      </c>
      <c r="F23" s="135" t="s">
        <v>47</v>
      </c>
      <c r="G23" s="135" t="s">
        <v>47</v>
      </c>
      <c r="H23" s="135" t="s">
        <v>47</v>
      </c>
      <c r="I23" s="135" t="s">
        <v>47</v>
      </c>
      <c r="J23" s="148" t="s">
        <v>47</v>
      </c>
      <c r="K23" s="135" t="s">
        <v>47</v>
      </c>
      <c r="L23" s="135" t="s">
        <v>47</v>
      </c>
    </row>
    <row r="24" spans="1:12">
      <c r="A24" s="97" t="s">
        <v>147</v>
      </c>
      <c r="B24" s="155" t="s">
        <v>148</v>
      </c>
      <c r="C24" s="135" t="s">
        <v>47</v>
      </c>
      <c r="D24" s="135" t="s">
        <v>47</v>
      </c>
      <c r="E24" s="135" t="s">
        <v>47</v>
      </c>
      <c r="F24" s="135" t="s">
        <v>47</v>
      </c>
      <c r="G24" s="135" t="s">
        <v>47</v>
      </c>
      <c r="H24" s="135" t="s">
        <v>47</v>
      </c>
      <c r="I24" s="135" t="s">
        <v>47</v>
      </c>
      <c r="J24" s="148" t="s">
        <v>47</v>
      </c>
      <c r="K24" s="135" t="s">
        <v>47</v>
      </c>
      <c r="L24" s="135" t="s">
        <v>47</v>
      </c>
    </row>
    <row r="25" spans="1:12">
      <c r="A25" s="97" t="s">
        <v>149</v>
      </c>
      <c r="B25" s="155"/>
      <c r="C25" s="135" t="s">
        <v>150</v>
      </c>
      <c r="D25" s="135" t="s">
        <v>150</v>
      </c>
      <c r="E25" s="135" t="s">
        <v>150</v>
      </c>
      <c r="F25" s="135" t="s">
        <v>150</v>
      </c>
      <c r="G25" s="135" t="s">
        <v>150</v>
      </c>
      <c r="H25" s="135" t="s">
        <v>150</v>
      </c>
      <c r="I25" s="135" t="s">
        <v>150</v>
      </c>
      <c r="J25" s="148" t="s">
        <v>150</v>
      </c>
      <c r="K25" s="135" t="s">
        <v>150</v>
      </c>
      <c r="L25" s="135" t="s">
        <v>150</v>
      </c>
    </row>
    <row r="26" spans="1:12">
      <c r="A26" s="97" t="s">
        <v>204</v>
      </c>
      <c r="B26" s="155"/>
      <c r="C26" s="140" t="s">
        <v>205</v>
      </c>
      <c r="D26" s="140" t="s">
        <v>205</v>
      </c>
      <c r="E26" s="140" t="s">
        <v>205</v>
      </c>
      <c r="F26" s="154" t="s">
        <v>206</v>
      </c>
      <c r="G26" s="154" t="s">
        <v>207</v>
      </c>
      <c r="H26" s="154" t="s">
        <v>206</v>
      </c>
      <c r="I26" s="154" t="s">
        <v>207</v>
      </c>
      <c r="J26" s="140" t="s">
        <v>206</v>
      </c>
      <c r="K26" s="140" t="s">
        <v>205</v>
      </c>
      <c r="L26" s="140" t="s">
        <v>205</v>
      </c>
    </row>
    <row r="27" spans="1:12" ht="48">
      <c r="A27" s="97" t="s">
        <v>209</v>
      </c>
      <c r="B27" s="97"/>
      <c r="C27" s="95" t="s">
        <v>210</v>
      </c>
      <c r="D27" s="95" t="s">
        <v>210</v>
      </c>
      <c r="E27" s="95" t="s">
        <v>211</v>
      </c>
      <c r="F27" s="118" t="s">
        <v>212</v>
      </c>
      <c r="G27" s="118" t="s">
        <v>212</v>
      </c>
      <c r="H27" s="118" t="s">
        <v>213</v>
      </c>
      <c r="I27" s="118" t="s">
        <v>213</v>
      </c>
      <c r="J27" s="148" t="s">
        <v>89</v>
      </c>
      <c r="K27" s="95" t="s">
        <v>210</v>
      </c>
      <c r="L27" s="95" t="s">
        <v>210</v>
      </c>
    </row>
    <row r="28" spans="1:12">
      <c r="A28" s="98"/>
      <c r="B28" s="175"/>
      <c r="C28" s="135"/>
      <c r="D28" s="97"/>
      <c r="E28" s="97"/>
      <c r="F28" s="135"/>
      <c r="G28" s="97"/>
      <c r="H28" s="97"/>
      <c r="I28" s="97"/>
      <c r="J28" s="148"/>
      <c r="K28" s="135"/>
      <c r="L28" s="97"/>
    </row>
    <row r="29" spans="1:12">
      <c r="A29" s="131" t="s">
        <v>152</v>
      </c>
      <c r="B29" s="171" t="s">
        <v>153</v>
      </c>
      <c r="C29" s="135"/>
      <c r="D29" s="97"/>
      <c r="E29" s="97"/>
      <c r="F29" s="135"/>
      <c r="G29" s="97"/>
      <c r="H29" s="97"/>
      <c r="I29" s="97"/>
      <c r="J29" s="148"/>
      <c r="K29" s="135"/>
      <c r="L29" s="97"/>
    </row>
    <row r="30" spans="1:12">
      <c r="A30" s="100" t="s">
        <v>154</v>
      </c>
      <c r="B30" s="142" t="s">
        <v>155</v>
      </c>
      <c r="C30" s="143" t="s">
        <v>47</v>
      </c>
      <c r="D30" s="143" t="s">
        <v>47</v>
      </c>
      <c r="E30" s="143" t="s">
        <v>47</v>
      </c>
      <c r="F30" s="143" t="s">
        <v>47</v>
      </c>
      <c r="G30" s="143" t="s">
        <v>47</v>
      </c>
      <c r="H30" s="143" t="s">
        <v>47</v>
      </c>
      <c r="I30" s="143" t="s">
        <v>47</v>
      </c>
      <c r="J30" s="148" t="s">
        <v>47</v>
      </c>
      <c r="K30" s="143" t="s">
        <v>47</v>
      </c>
      <c r="L30" s="143" t="s">
        <v>47</v>
      </c>
    </row>
    <row r="31" spans="1:12">
      <c r="A31" s="100" t="s">
        <v>156</v>
      </c>
      <c r="B31" s="142" t="s">
        <v>157</v>
      </c>
      <c r="C31" s="140" t="s">
        <v>158</v>
      </c>
      <c r="D31" s="140" t="s">
        <v>158</v>
      </c>
      <c r="E31" s="140" t="s">
        <v>158</v>
      </c>
      <c r="F31" s="140" t="s">
        <v>158</v>
      </c>
      <c r="G31" s="140" t="s">
        <v>158</v>
      </c>
      <c r="H31" s="140" t="s">
        <v>158</v>
      </c>
      <c r="I31" s="140" t="s">
        <v>158</v>
      </c>
      <c r="J31" s="148" t="s">
        <v>158</v>
      </c>
      <c r="K31" s="140" t="s">
        <v>158</v>
      </c>
      <c r="L31" s="140" t="s">
        <v>158</v>
      </c>
    </row>
    <row r="32" spans="1:12">
      <c r="A32" s="100" t="s">
        <v>159</v>
      </c>
      <c r="B32" s="144"/>
      <c r="C32" s="142">
        <v>1</v>
      </c>
      <c r="D32" s="142">
        <v>1</v>
      </c>
      <c r="E32" s="142">
        <v>1</v>
      </c>
      <c r="F32" s="142">
        <v>1</v>
      </c>
      <c r="G32" s="142">
        <v>1</v>
      </c>
      <c r="H32" s="142">
        <v>1</v>
      </c>
      <c r="I32" s="142">
        <v>1</v>
      </c>
      <c r="J32" s="156">
        <v>1</v>
      </c>
      <c r="K32" s="194">
        <v>1</v>
      </c>
      <c r="L32" s="194">
        <v>1</v>
      </c>
    </row>
    <row r="33" spans="1:12" ht="14.25" customHeight="1">
      <c r="A33" s="215" t="s">
        <v>160</v>
      </c>
      <c r="B33" s="216" t="s">
        <v>161</v>
      </c>
      <c r="C33" s="211" t="s">
        <v>47</v>
      </c>
      <c r="D33" s="211" t="s">
        <v>47</v>
      </c>
      <c r="E33" s="211" t="s">
        <v>47</v>
      </c>
      <c r="F33" s="211" t="s">
        <v>47</v>
      </c>
      <c r="G33" s="211" t="s">
        <v>47</v>
      </c>
      <c r="H33" s="211" t="s">
        <v>47</v>
      </c>
      <c r="I33" s="211" t="s">
        <v>47</v>
      </c>
      <c r="J33" s="221" t="s">
        <v>47</v>
      </c>
      <c r="K33" s="211" t="s">
        <v>47</v>
      </c>
      <c r="L33" s="211" t="s">
        <v>47</v>
      </c>
    </row>
    <row r="34" spans="1:12">
      <c r="A34" s="215"/>
      <c r="B34" s="217"/>
      <c r="C34" s="211"/>
      <c r="D34" s="211"/>
      <c r="E34" s="211"/>
      <c r="F34" s="211"/>
      <c r="G34" s="211"/>
      <c r="H34" s="211"/>
      <c r="I34" s="211"/>
      <c r="J34" s="222"/>
      <c r="K34" s="211"/>
      <c r="L34" s="211"/>
    </row>
    <row r="35" spans="1:12">
      <c r="A35" s="100" t="s">
        <v>162</v>
      </c>
      <c r="B35" s="143" t="s">
        <v>163</v>
      </c>
      <c r="C35" s="142" t="s">
        <v>47</v>
      </c>
      <c r="D35" s="142" t="s">
        <v>47</v>
      </c>
      <c r="E35" s="142" t="s">
        <v>47</v>
      </c>
      <c r="F35" s="142" t="s">
        <v>47</v>
      </c>
      <c r="G35" s="142" t="s">
        <v>47</v>
      </c>
      <c r="H35" s="142" t="s">
        <v>47</v>
      </c>
      <c r="I35" s="142" t="s">
        <v>47</v>
      </c>
      <c r="J35" s="148" t="s">
        <v>47</v>
      </c>
      <c r="K35" s="194" t="s">
        <v>47</v>
      </c>
      <c r="L35" s="194" t="s">
        <v>47</v>
      </c>
    </row>
    <row r="36" spans="1:12" ht="36">
      <c r="A36" s="100" t="s">
        <v>164</v>
      </c>
      <c r="B36" s="142" t="s">
        <v>165</v>
      </c>
      <c r="C36" s="142" t="s">
        <v>165</v>
      </c>
      <c r="D36" s="142" t="s">
        <v>165</v>
      </c>
      <c r="E36" s="142" t="s">
        <v>165</v>
      </c>
      <c r="F36" s="142" t="s">
        <v>165</v>
      </c>
      <c r="G36" s="142" t="s">
        <v>165</v>
      </c>
      <c r="H36" s="142" t="s">
        <v>165</v>
      </c>
      <c r="I36" s="142" t="s">
        <v>165</v>
      </c>
      <c r="J36" s="148" t="s">
        <v>165</v>
      </c>
      <c r="K36" s="194" t="s">
        <v>165</v>
      </c>
      <c r="L36" s="194" t="s">
        <v>165</v>
      </c>
    </row>
    <row r="37" spans="1:12" ht="36">
      <c r="A37" s="100" t="s">
        <v>166</v>
      </c>
      <c r="B37" s="142" t="s">
        <v>165</v>
      </c>
      <c r="C37" s="142" t="s">
        <v>165</v>
      </c>
      <c r="D37" s="142" t="s">
        <v>165</v>
      </c>
      <c r="E37" s="142" t="s">
        <v>165</v>
      </c>
      <c r="F37" s="142" t="s">
        <v>165</v>
      </c>
      <c r="G37" s="142" t="s">
        <v>165</v>
      </c>
      <c r="H37" s="142" t="s">
        <v>165</v>
      </c>
      <c r="I37" s="142" t="s">
        <v>165</v>
      </c>
      <c r="J37" s="148" t="s">
        <v>165</v>
      </c>
      <c r="K37" s="194" t="s">
        <v>165</v>
      </c>
      <c r="L37" s="194" t="s">
        <v>165</v>
      </c>
    </row>
    <row r="38" spans="1:12" ht="24">
      <c r="A38" s="100" t="s">
        <v>167</v>
      </c>
      <c r="B38" s="142" t="s">
        <v>168</v>
      </c>
      <c r="C38" s="142" t="s">
        <v>47</v>
      </c>
      <c r="D38" s="142" t="s">
        <v>47</v>
      </c>
      <c r="E38" s="142" t="s">
        <v>47</v>
      </c>
      <c r="F38" s="142" t="s">
        <v>47</v>
      </c>
      <c r="G38" s="142" t="s">
        <v>47</v>
      </c>
      <c r="H38" s="142" t="s">
        <v>47</v>
      </c>
      <c r="I38" s="142" t="s">
        <v>47</v>
      </c>
      <c r="J38" s="148" t="s">
        <v>47</v>
      </c>
      <c r="K38" s="194" t="s">
        <v>47</v>
      </c>
      <c r="L38" s="194" t="s">
        <v>47</v>
      </c>
    </row>
    <row r="39" spans="1:12" ht="24">
      <c r="A39" s="100" t="s">
        <v>169</v>
      </c>
      <c r="B39" s="142" t="s">
        <v>165</v>
      </c>
      <c r="C39" s="142" t="s">
        <v>165</v>
      </c>
      <c r="D39" s="142" t="s">
        <v>165</v>
      </c>
      <c r="E39" s="142" t="s">
        <v>165</v>
      </c>
      <c r="F39" s="142" t="s">
        <v>165</v>
      </c>
      <c r="G39" s="142" t="s">
        <v>165</v>
      </c>
      <c r="H39" s="142" t="s">
        <v>165</v>
      </c>
      <c r="I39" s="142" t="s">
        <v>165</v>
      </c>
      <c r="J39" s="148" t="s">
        <v>165</v>
      </c>
      <c r="K39" s="194" t="s">
        <v>165</v>
      </c>
      <c r="L39" s="194" t="s">
        <v>165</v>
      </c>
    </row>
    <row r="40" spans="1:12" ht="24">
      <c r="A40" s="100" t="s">
        <v>170</v>
      </c>
      <c r="B40" s="142" t="s">
        <v>165</v>
      </c>
      <c r="C40" s="142" t="s">
        <v>165</v>
      </c>
      <c r="D40" s="142" t="s">
        <v>165</v>
      </c>
      <c r="E40" s="142" t="s">
        <v>165</v>
      </c>
      <c r="F40" s="142" t="s">
        <v>165</v>
      </c>
      <c r="G40" s="142" t="s">
        <v>165</v>
      </c>
      <c r="H40" s="142" t="s">
        <v>165</v>
      </c>
      <c r="I40" s="142" t="s">
        <v>165</v>
      </c>
      <c r="J40" s="148" t="s">
        <v>165</v>
      </c>
      <c r="K40" s="194" t="s">
        <v>165</v>
      </c>
      <c r="L40" s="194" t="s">
        <v>165</v>
      </c>
    </row>
    <row r="41" spans="1:12">
      <c r="A41" s="129" t="s">
        <v>171</v>
      </c>
      <c r="D41" s="146"/>
      <c r="G41" s="146"/>
      <c r="I41" s="146"/>
    </row>
  </sheetData>
  <mergeCells count="15">
    <mergeCell ref="A33:A34"/>
    <mergeCell ref="B33:B34"/>
    <mergeCell ref="C33:C34"/>
    <mergeCell ref="D33:D34"/>
    <mergeCell ref="E33:E34"/>
    <mergeCell ref="K2:L2"/>
    <mergeCell ref="K33:K34"/>
    <mergeCell ref="L33:L34"/>
    <mergeCell ref="J33:J34"/>
    <mergeCell ref="C2:E2"/>
    <mergeCell ref="F2:I2"/>
    <mergeCell ref="F33:F34"/>
    <mergeCell ref="G33:G34"/>
    <mergeCell ref="H33:H34"/>
    <mergeCell ref="I33:I34"/>
  </mergeCells>
  <phoneticPr fontId="1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85" zoomScaleNormal="85" workbookViewId="0">
      <pane xSplit="2" ySplit="3" topLeftCell="P4" activePane="bottomRight" state="frozen"/>
      <selection pane="topRight"/>
      <selection pane="bottomLeft"/>
      <selection pane="bottomRight" activeCell="U12" sqref="U12"/>
    </sheetView>
  </sheetViews>
  <sheetFormatPr defaultColWidth="9.28515625" defaultRowHeight="14.25"/>
  <cols>
    <col min="1" max="1" width="29.28515625" style="84" customWidth="1"/>
    <col min="2" max="2" width="38.42578125" style="145" customWidth="1"/>
    <col min="3" max="3" width="28.42578125" style="130" customWidth="1"/>
    <col min="4" max="4" width="26.28515625" style="85" customWidth="1"/>
    <col min="5" max="5" width="27.7109375" style="130" customWidth="1"/>
    <col min="6" max="6" width="26.42578125" style="85" customWidth="1"/>
    <col min="7" max="8" width="31.42578125" style="85" customWidth="1"/>
    <col min="9" max="9" width="28.42578125" style="130" customWidth="1"/>
    <col min="10" max="10" width="26.28515625" style="85" customWidth="1"/>
    <col min="11" max="13" width="31.42578125" style="85" customWidth="1"/>
    <col min="14" max="14" width="28.28515625" style="84" customWidth="1"/>
    <col min="15" max="15" width="25.7109375" style="84" customWidth="1"/>
    <col min="16" max="17" width="31.5703125" style="85" customWidth="1"/>
    <col min="18" max="16384" width="9.28515625" style="84"/>
  </cols>
  <sheetData>
    <row r="1" spans="1:17">
      <c r="A1" s="131" t="s">
        <v>37</v>
      </c>
      <c r="B1" s="146"/>
      <c r="E1" s="172"/>
      <c r="F1" s="120"/>
      <c r="G1" s="120"/>
      <c r="H1" s="120"/>
      <c r="N1" s="123"/>
      <c r="O1" s="123"/>
    </row>
    <row r="2" spans="1:17" ht="24">
      <c r="A2" s="131" t="s">
        <v>38</v>
      </c>
      <c r="B2" s="171" t="s">
        <v>39</v>
      </c>
      <c r="C2" s="218" t="s">
        <v>5</v>
      </c>
      <c r="D2" s="220"/>
      <c r="E2" s="218" t="s">
        <v>12</v>
      </c>
      <c r="F2" s="219"/>
      <c r="G2" s="219"/>
      <c r="H2" s="220"/>
      <c r="I2" s="218" t="s">
        <v>14</v>
      </c>
      <c r="J2" s="220"/>
      <c r="K2" s="213" t="s">
        <v>16</v>
      </c>
      <c r="L2" s="214"/>
      <c r="M2" s="91" t="s">
        <v>18</v>
      </c>
      <c r="N2" s="223" t="s">
        <v>20</v>
      </c>
      <c r="O2" s="224"/>
      <c r="P2" s="91" t="s">
        <v>23</v>
      </c>
      <c r="Q2" s="91"/>
    </row>
    <row r="3" spans="1:17">
      <c r="A3" s="131"/>
      <c r="B3" s="171"/>
      <c r="C3" s="132" t="s">
        <v>41</v>
      </c>
      <c r="D3" s="133" t="s">
        <v>42</v>
      </c>
      <c r="E3" s="132" t="s">
        <v>41</v>
      </c>
      <c r="F3" s="133" t="s">
        <v>42</v>
      </c>
      <c r="G3" s="133" t="s">
        <v>43</v>
      </c>
      <c r="H3" s="133" t="s">
        <v>44</v>
      </c>
      <c r="I3" s="132" t="s">
        <v>41</v>
      </c>
      <c r="J3" s="133" t="s">
        <v>42</v>
      </c>
      <c r="K3" s="133" t="s">
        <v>43</v>
      </c>
      <c r="L3" s="133" t="s">
        <v>44</v>
      </c>
      <c r="M3" s="173" t="s">
        <v>42</v>
      </c>
      <c r="N3" s="112" t="s">
        <v>42</v>
      </c>
      <c r="O3" s="112" t="s">
        <v>41</v>
      </c>
      <c r="P3" s="165" t="s">
        <v>42</v>
      </c>
      <c r="Q3" s="165"/>
    </row>
    <row r="4" spans="1:17">
      <c r="A4" s="97" t="s">
        <v>45</v>
      </c>
      <c r="B4" s="155" t="s">
        <v>46</v>
      </c>
      <c r="C4" s="135" t="s">
        <v>47</v>
      </c>
      <c r="D4" s="135" t="s">
        <v>47</v>
      </c>
      <c r="E4" s="135" t="s">
        <v>47</v>
      </c>
      <c r="F4" s="135" t="s">
        <v>47</v>
      </c>
      <c r="G4" s="135" t="s">
        <v>47</v>
      </c>
      <c r="H4" s="135" t="s">
        <v>47</v>
      </c>
      <c r="I4" s="135" t="s">
        <v>47</v>
      </c>
      <c r="J4" s="135" t="s">
        <v>47</v>
      </c>
      <c r="K4" s="135" t="s">
        <v>47</v>
      </c>
      <c r="L4" s="135" t="s">
        <v>47</v>
      </c>
      <c r="M4" s="135" t="s">
        <v>47</v>
      </c>
      <c r="N4" s="124" t="s">
        <v>47</v>
      </c>
      <c r="O4" s="124" t="s">
        <v>47</v>
      </c>
      <c r="P4" s="135" t="s">
        <v>47</v>
      </c>
      <c r="Q4" s="135"/>
    </row>
    <row r="5" spans="1:17">
      <c r="A5" s="119" t="s">
        <v>48</v>
      </c>
      <c r="B5" s="155"/>
      <c r="C5" s="135" t="s">
        <v>49</v>
      </c>
      <c r="D5" s="155" t="s">
        <v>50</v>
      </c>
      <c r="E5" s="135" t="s">
        <v>49</v>
      </c>
      <c r="F5" s="155" t="s">
        <v>50</v>
      </c>
      <c r="G5" s="97" t="s">
        <v>49</v>
      </c>
      <c r="H5" s="97" t="s">
        <v>50</v>
      </c>
      <c r="I5" s="135" t="s">
        <v>49</v>
      </c>
      <c r="J5" s="155" t="s">
        <v>50</v>
      </c>
      <c r="K5" s="97" t="s">
        <v>49</v>
      </c>
      <c r="L5" s="97" t="s">
        <v>50</v>
      </c>
      <c r="M5" s="155" t="s">
        <v>50</v>
      </c>
      <c r="N5" s="126" t="s">
        <v>50</v>
      </c>
      <c r="O5" s="124" t="s">
        <v>49</v>
      </c>
      <c r="P5" s="155" t="s">
        <v>50</v>
      </c>
      <c r="Q5" s="135"/>
    </row>
    <row r="6" spans="1:17">
      <c r="A6" s="119" t="s">
        <v>51</v>
      </c>
      <c r="B6" s="155" t="s">
        <v>214</v>
      </c>
      <c r="C6" s="135" t="s">
        <v>47</v>
      </c>
      <c r="D6" s="135" t="s">
        <v>47</v>
      </c>
      <c r="E6" s="135" t="s">
        <v>47</v>
      </c>
      <c r="F6" s="135" t="s">
        <v>47</v>
      </c>
      <c r="G6" s="97" t="s">
        <v>47</v>
      </c>
      <c r="H6" s="97" t="s">
        <v>47</v>
      </c>
      <c r="I6" s="135" t="s">
        <v>47</v>
      </c>
      <c r="J6" s="135" t="s">
        <v>47</v>
      </c>
      <c r="K6" s="97" t="s">
        <v>47</v>
      </c>
      <c r="L6" s="97" t="s">
        <v>47</v>
      </c>
      <c r="M6" s="135" t="s">
        <v>47</v>
      </c>
      <c r="N6" s="124" t="s">
        <v>47</v>
      </c>
      <c r="O6" s="124" t="s">
        <v>47</v>
      </c>
      <c r="P6" s="135" t="s">
        <v>47</v>
      </c>
      <c r="Q6" s="135"/>
    </row>
    <row r="7" spans="1:17">
      <c r="A7" s="119" t="s">
        <v>52</v>
      </c>
      <c r="B7" s="155" t="s">
        <v>53</v>
      </c>
      <c r="C7" s="135" t="s">
        <v>47</v>
      </c>
      <c r="D7" s="135" t="s">
        <v>47</v>
      </c>
      <c r="E7" s="135" t="s">
        <v>47</v>
      </c>
      <c r="F7" s="135" t="s">
        <v>47</v>
      </c>
      <c r="G7" s="135" t="s">
        <v>47</v>
      </c>
      <c r="H7" s="135" t="s">
        <v>47</v>
      </c>
      <c r="I7" s="135" t="s">
        <v>47</v>
      </c>
      <c r="J7" s="135" t="s">
        <v>47</v>
      </c>
      <c r="K7" s="135" t="s">
        <v>47</v>
      </c>
      <c r="L7" s="135" t="s">
        <v>47</v>
      </c>
      <c r="M7" s="135" t="s">
        <v>47</v>
      </c>
      <c r="N7" s="124" t="s">
        <v>47</v>
      </c>
      <c r="O7" s="124" t="s">
        <v>47</v>
      </c>
      <c r="P7" s="135" t="s">
        <v>47</v>
      </c>
      <c r="Q7" s="135"/>
    </row>
    <row r="8" spans="1:17" ht="36">
      <c r="A8" s="97" t="s">
        <v>54</v>
      </c>
      <c r="B8" s="95" t="s">
        <v>55</v>
      </c>
      <c r="C8" s="135" t="s">
        <v>47</v>
      </c>
      <c r="D8" s="135" t="s">
        <v>47</v>
      </c>
      <c r="E8" s="135" t="s">
        <v>47</v>
      </c>
      <c r="F8" s="135" t="s">
        <v>47</v>
      </c>
      <c r="G8" s="95" t="s">
        <v>56</v>
      </c>
      <c r="H8" s="95" t="s">
        <v>56</v>
      </c>
      <c r="I8" s="135" t="s">
        <v>47</v>
      </c>
      <c r="J8" s="135" t="s">
        <v>47</v>
      </c>
      <c r="K8" s="135" t="s">
        <v>47</v>
      </c>
      <c r="L8" s="135" t="s">
        <v>47</v>
      </c>
      <c r="M8" s="164" t="s">
        <v>47</v>
      </c>
      <c r="N8" s="124" t="s">
        <v>47</v>
      </c>
      <c r="O8" s="124" t="s">
        <v>47</v>
      </c>
      <c r="P8" s="135" t="s">
        <v>47</v>
      </c>
      <c r="Q8" s="135"/>
    </row>
    <row r="9" spans="1:17" ht="24">
      <c r="A9" s="119" t="s">
        <v>57</v>
      </c>
      <c r="B9" s="95" t="s">
        <v>58</v>
      </c>
      <c r="C9" s="135" t="s">
        <v>59</v>
      </c>
      <c r="D9" s="135" t="s">
        <v>60</v>
      </c>
      <c r="E9" s="135" t="s">
        <v>59</v>
      </c>
      <c r="F9" s="135" t="s">
        <v>61</v>
      </c>
      <c r="G9" s="135" t="s">
        <v>59</v>
      </c>
      <c r="H9" s="135" t="s">
        <v>59</v>
      </c>
      <c r="I9" s="135" t="s">
        <v>59</v>
      </c>
      <c r="J9" s="135" t="s">
        <v>62</v>
      </c>
      <c r="K9" s="135" t="s">
        <v>59</v>
      </c>
      <c r="L9" s="135" t="s">
        <v>59</v>
      </c>
      <c r="M9" s="135" t="s">
        <v>215</v>
      </c>
      <c r="N9" s="124" t="s">
        <v>62</v>
      </c>
      <c r="O9" s="124" t="s">
        <v>59</v>
      </c>
      <c r="P9" s="135" t="s">
        <v>62</v>
      </c>
      <c r="Q9" s="135"/>
    </row>
    <row r="10" spans="1:17" ht="60">
      <c r="A10" s="96" t="s">
        <v>63</v>
      </c>
      <c r="B10" s="137" t="s">
        <v>64</v>
      </c>
      <c r="C10" s="135" t="s">
        <v>47</v>
      </c>
      <c r="D10" s="135" t="s">
        <v>47</v>
      </c>
      <c r="E10" s="135" t="s">
        <v>47</v>
      </c>
      <c r="F10" s="135" t="s">
        <v>47</v>
      </c>
      <c r="G10" s="138">
        <v>0.1</v>
      </c>
      <c r="H10" s="138">
        <v>0.1</v>
      </c>
      <c r="I10" s="135" t="s">
        <v>47</v>
      </c>
      <c r="J10" s="135" t="s">
        <v>47</v>
      </c>
      <c r="K10" s="135" t="s">
        <v>47</v>
      </c>
      <c r="L10" s="135" t="s">
        <v>47</v>
      </c>
      <c r="M10" s="135" t="s">
        <v>216</v>
      </c>
      <c r="N10" s="124" t="s">
        <v>47</v>
      </c>
      <c r="O10" s="124" t="s">
        <v>47</v>
      </c>
      <c r="P10" s="135" t="s">
        <v>47</v>
      </c>
      <c r="Q10" s="135"/>
    </row>
    <row r="11" spans="1:17" ht="24">
      <c r="A11" s="119" t="s">
        <v>65</v>
      </c>
      <c r="B11" s="135" t="s">
        <v>66</v>
      </c>
      <c r="C11" s="135" t="s">
        <v>217</v>
      </c>
      <c r="D11" s="135" t="s">
        <v>218</v>
      </c>
      <c r="E11" s="135" t="s">
        <v>47</v>
      </c>
      <c r="F11" s="135" t="s">
        <v>47</v>
      </c>
      <c r="G11" s="135" t="s">
        <v>47</v>
      </c>
      <c r="H11" s="135" t="s">
        <v>47</v>
      </c>
      <c r="I11" s="135" t="s">
        <v>217</v>
      </c>
      <c r="J11" s="135" t="s">
        <v>218</v>
      </c>
      <c r="K11" s="135" t="s">
        <v>217</v>
      </c>
      <c r="L11" s="135" t="s">
        <v>218</v>
      </c>
      <c r="M11" s="135" t="s">
        <v>219</v>
      </c>
      <c r="N11" s="126" t="s">
        <v>219</v>
      </c>
      <c r="O11" s="124" t="s">
        <v>217</v>
      </c>
      <c r="P11" s="135" t="s">
        <v>218</v>
      </c>
      <c r="Q11" s="135"/>
    </row>
    <row r="12" spans="1:17" ht="48">
      <c r="A12" s="119" t="s">
        <v>67</v>
      </c>
      <c r="B12" s="155"/>
      <c r="C12" s="135" t="s">
        <v>68</v>
      </c>
      <c r="D12" s="155" t="s">
        <v>69</v>
      </c>
      <c r="E12" s="135" t="s">
        <v>68</v>
      </c>
      <c r="F12" s="155" t="s">
        <v>70</v>
      </c>
      <c r="G12" s="135" t="s">
        <v>68</v>
      </c>
      <c r="H12" s="135" t="s">
        <v>70</v>
      </c>
      <c r="I12" s="135" t="s">
        <v>68</v>
      </c>
      <c r="J12" s="155" t="s">
        <v>69</v>
      </c>
      <c r="K12" s="135" t="s">
        <v>68</v>
      </c>
      <c r="L12" s="135" t="s">
        <v>70</v>
      </c>
      <c r="M12" s="135" t="s">
        <v>220</v>
      </c>
      <c r="N12" s="124" t="s">
        <v>221</v>
      </c>
      <c r="O12" s="124" t="s">
        <v>222</v>
      </c>
      <c r="P12" s="155" t="s">
        <v>69</v>
      </c>
      <c r="Q12" s="135"/>
    </row>
    <row r="13" spans="1:17" ht="25.5">
      <c r="A13" s="119" t="s">
        <v>73</v>
      </c>
      <c r="B13" s="159" t="s">
        <v>75</v>
      </c>
      <c r="C13" s="159" t="s">
        <v>75</v>
      </c>
      <c r="D13" s="159" t="s">
        <v>75</v>
      </c>
      <c r="E13" s="161" t="s">
        <v>75</v>
      </c>
      <c r="F13" s="161" t="s">
        <v>75</v>
      </c>
      <c r="G13" s="161" t="s">
        <v>75</v>
      </c>
      <c r="H13" s="161" t="s">
        <v>75</v>
      </c>
      <c r="I13" s="159" t="s">
        <v>75</v>
      </c>
      <c r="J13" s="159" t="s">
        <v>75</v>
      </c>
      <c r="K13" s="161" t="s">
        <v>75</v>
      </c>
      <c r="L13" s="161" t="s">
        <v>75</v>
      </c>
      <c r="M13" s="135" t="s">
        <v>47</v>
      </c>
      <c r="N13" s="166" t="s">
        <v>75</v>
      </c>
      <c r="O13" s="166" t="s">
        <v>75</v>
      </c>
      <c r="P13" s="159" t="s">
        <v>75</v>
      </c>
      <c r="Q13" s="159"/>
    </row>
    <row r="14" spans="1:17" ht="36">
      <c r="A14" s="119" t="s">
        <v>76</v>
      </c>
      <c r="B14" s="155"/>
      <c r="C14" s="153" t="s">
        <v>77</v>
      </c>
      <c r="D14" s="153" t="s">
        <v>77</v>
      </c>
      <c r="E14" s="139" t="s">
        <v>77</v>
      </c>
      <c r="F14" s="135" t="s">
        <v>78</v>
      </c>
      <c r="G14" s="139" t="s">
        <v>77</v>
      </c>
      <c r="H14" s="135" t="s">
        <v>78</v>
      </c>
      <c r="I14" s="153" t="s">
        <v>77</v>
      </c>
      <c r="J14" s="135" t="s">
        <v>79</v>
      </c>
      <c r="K14" s="139" t="s">
        <v>77</v>
      </c>
      <c r="L14" s="135" t="s">
        <v>223</v>
      </c>
      <c r="M14" s="135" t="s">
        <v>224</v>
      </c>
      <c r="N14" s="167" t="s">
        <v>80</v>
      </c>
      <c r="O14" s="166" t="s">
        <v>77</v>
      </c>
      <c r="P14" s="135" t="s">
        <v>79</v>
      </c>
      <c r="Q14" s="153"/>
    </row>
    <row r="15" spans="1:17" ht="60">
      <c r="A15" s="119" t="s">
        <v>81</v>
      </c>
      <c r="B15" s="155"/>
      <c r="C15" s="139" t="s">
        <v>84</v>
      </c>
      <c r="D15" s="139" t="s">
        <v>84</v>
      </c>
      <c r="E15" s="139" t="s">
        <v>85</v>
      </c>
      <c r="F15" s="135" t="s">
        <v>86</v>
      </c>
      <c r="G15" s="135" t="s">
        <v>87</v>
      </c>
      <c r="H15" s="135" t="s">
        <v>88</v>
      </c>
      <c r="I15" s="139" t="s">
        <v>84</v>
      </c>
      <c r="J15" s="155" t="s">
        <v>89</v>
      </c>
      <c r="K15" s="139" t="s">
        <v>84</v>
      </c>
      <c r="L15" s="155" t="s">
        <v>89</v>
      </c>
      <c r="M15" s="156" t="s">
        <v>89</v>
      </c>
      <c r="N15" s="128" t="s">
        <v>89</v>
      </c>
      <c r="O15" s="128" t="s">
        <v>225</v>
      </c>
      <c r="P15" s="155" t="s">
        <v>89</v>
      </c>
      <c r="Q15" s="139"/>
    </row>
    <row r="16" spans="1:17">
      <c r="A16" s="119" t="s">
        <v>91</v>
      </c>
      <c r="B16" s="155"/>
      <c r="C16" s="139" t="s">
        <v>92</v>
      </c>
      <c r="D16" s="139" t="s">
        <v>92</v>
      </c>
      <c r="E16" s="139" t="s">
        <v>92</v>
      </c>
      <c r="F16" s="139" t="s">
        <v>92</v>
      </c>
      <c r="G16" s="97" t="s">
        <v>93</v>
      </c>
      <c r="H16" s="97" t="s">
        <v>94</v>
      </c>
      <c r="I16" s="139" t="s">
        <v>92</v>
      </c>
      <c r="J16" s="139" t="s">
        <v>92</v>
      </c>
      <c r="K16" s="139" t="s">
        <v>92</v>
      </c>
      <c r="L16" s="139" t="s">
        <v>92</v>
      </c>
      <c r="M16" s="158" t="s">
        <v>92</v>
      </c>
      <c r="N16" s="166" t="s">
        <v>92</v>
      </c>
      <c r="O16" s="166" t="s">
        <v>92</v>
      </c>
      <c r="P16" s="139" t="s">
        <v>92</v>
      </c>
      <c r="Q16" s="139"/>
    </row>
    <row r="17" spans="1:17">
      <c r="A17" s="119" t="s">
        <v>95</v>
      </c>
      <c r="B17" s="155"/>
      <c r="C17" s="160" t="s">
        <v>98</v>
      </c>
      <c r="D17" s="160" t="s">
        <v>98</v>
      </c>
      <c r="E17" s="161" t="s">
        <v>99</v>
      </c>
      <c r="F17" s="161" t="s">
        <v>99</v>
      </c>
      <c r="G17" s="161" t="s">
        <v>99</v>
      </c>
      <c r="H17" s="161" t="s">
        <v>99</v>
      </c>
      <c r="I17" s="160" t="s">
        <v>98</v>
      </c>
      <c r="J17" s="160" t="s">
        <v>98</v>
      </c>
      <c r="K17" s="160" t="s">
        <v>98</v>
      </c>
      <c r="L17" s="160" t="s">
        <v>98</v>
      </c>
      <c r="M17" s="139" t="s">
        <v>98</v>
      </c>
      <c r="N17" s="166" t="s">
        <v>98</v>
      </c>
      <c r="O17" s="166" t="s">
        <v>98</v>
      </c>
      <c r="P17" s="160" t="s">
        <v>98</v>
      </c>
      <c r="Q17" s="160"/>
    </row>
    <row r="18" spans="1:17">
      <c r="A18" s="119" t="s">
        <v>100</v>
      </c>
      <c r="B18" s="155"/>
      <c r="C18" s="139" t="s">
        <v>103</v>
      </c>
      <c r="D18" s="139" t="s">
        <v>103</v>
      </c>
      <c r="E18" s="139" t="s">
        <v>101</v>
      </c>
      <c r="F18" s="139" t="s">
        <v>101</v>
      </c>
      <c r="G18" s="139" t="s">
        <v>102</v>
      </c>
      <c r="H18" s="139" t="s">
        <v>102</v>
      </c>
      <c r="I18" s="139" t="s">
        <v>226</v>
      </c>
      <c r="J18" s="139" t="s">
        <v>103</v>
      </c>
      <c r="K18" s="139" t="s">
        <v>102</v>
      </c>
      <c r="L18" s="139" t="s">
        <v>102</v>
      </c>
      <c r="M18" s="139" t="s">
        <v>103</v>
      </c>
      <c r="N18" s="166" t="s">
        <v>103</v>
      </c>
      <c r="O18" s="166" t="s">
        <v>103</v>
      </c>
      <c r="P18" s="139" t="s">
        <v>103</v>
      </c>
      <c r="Q18" s="139"/>
    </row>
    <row r="19" spans="1:17" ht="24">
      <c r="A19" s="97" t="s">
        <v>104</v>
      </c>
      <c r="B19" s="95" t="s">
        <v>105</v>
      </c>
      <c r="C19" s="135" t="s">
        <v>47</v>
      </c>
      <c r="D19" s="135" t="s">
        <v>47</v>
      </c>
      <c r="E19" s="135" t="s">
        <v>47</v>
      </c>
      <c r="F19" s="135" t="s">
        <v>47</v>
      </c>
      <c r="G19" s="135" t="s">
        <v>106</v>
      </c>
      <c r="H19" s="135" t="s">
        <v>106</v>
      </c>
      <c r="I19" s="135" t="s">
        <v>47</v>
      </c>
      <c r="J19" s="135" t="s">
        <v>47</v>
      </c>
      <c r="K19" s="135" t="s">
        <v>47</v>
      </c>
      <c r="L19" s="135" t="s">
        <v>47</v>
      </c>
      <c r="M19" s="164" t="s">
        <v>47</v>
      </c>
      <c r="N19" s="124" t="s">
        <v>47</v>
      </c>
      <c r="O19" s="124" t="s">
        <v>47</v>
      </c>
      <c r="P19" s="135" t="s">
        <v>47</v>
      </c>
      <c r="Q19" s="135"/>
    </row>
    <row r="20" spans="1:17" ht="84">
      <c r="A20" s="97" t="s">
        <v>107</v>
      </c>
      <c r="B20" s="135" t="s">
        <v>108</v>
      </c>
      <c r="C20" s="153" t="s">
        <v>89</v>
      </c>
      <c r="D20" s="135" t="s">
        <v>227</v>
      </c>
      <c r="E20" s="139" t="s">
        <v>89</v>
      </c>
      <c r="F20" s="135" t="s">
        <v>110</v>
      </c>
      <c r="G20" s="139" t="s">
        <v>89</v>
      </c>
      <c r="H20" s="135" t="s">
        <v>110</v>
      </c>
      <c r="I20" s="153" t="s">
        <v>89</v>
      </c>
      <c r="J20" s="135" t="s">
        <v>228</v>
      </c>
      <c r="K20" s="139" t="s">
        <v>89</v>
      </c>
      <c r="L20" s="135" t="s">
        <v>112</v>
      </c>
      <c r="M20" s="164" t="s">
        <v>229</v>
      </c>
      <c r="N20" s="166" t="s">
        <v>113</v>
      </c>
      <c r="O20" s="166" t="s">
        <v>89</v>
      </c>
      <c r="P20" s="135" t="s">
        <v>228</v>
      </c>
      <c r="Q20" s="153"/>
    </row>
    <row r="21" spans="1:17" ht="48">
      <c r="A21" s="97" t="s">
        <v>114</v>
      </c>
      <c r="B21" s="155"/>
      <c r="C21" s="153" t="s">
        <v>115</v>
      </c>
      <c r="D21" s="135" t="s">
        <v>116</v>
      </c>
      <c r="E21" s="139" t="s">
        <v>117</v>
      </c>
      <c r="F21" s="135" t="s">
        <v>118</v>
      </c>
      <c r="G21" s="139" t="s">
        <v>119</v>
      </c>
      <c r="H21" s="135" t="s">
        <v>120</v>
      </c>
      <c r="I21" s="153" t="s">
        <v>115</v>
      </c>
      <c r="J21" s="135" t="s">
        <v>116</v>
      </c>
      <c r="K21" s="153" t="s">
        <v>115</v>
      </c>
      <c r="L21" s="135" t="s">
        <v>116</v>
      </c>
      <c r="M21" s="164" t="s">
        <v>230</v>
      </c>
      <c r="N21" s="166" t="s">
        <v>115</v>
      </c>
      <c r="O21" s="166" t="s">
        <v>115</v>
      </c>
      <c r="P21" s="135" t="s">
        <v>116</v>
      </c>
      <c r="Q21" s="153"/>
    </row>
    <row r="22" spans="1:17" ht="24">
      <c r="A22" s="97" t="s">
        <v>121</v>
      </c>
      <c r="B22" s="155"/>
      <c r="C22" s="139" t="s">
        <v>122</v>
      </c>
      <c r="D22" s="139" t="s">
        <v>122</v>
      </c>
      <c r="E22" s="139" t="s">
        <v>122</v>
      </c>
      <c r="F22" s="139" t="s">
        <v>122</v>
      </c>
      <c r="G22" s="139" t="s">
        <v>123</v>
      </c>
      <c r="H22" s="139" t="s">
        <v>123</v>
      </c>
      <c r="I22" s="139" t="s">
        <v>122</v>
      </c>
      <c r="J22" s="139" t="s">
        <v>122</v>
      </c>
      <c r="K22" s="139" t="s">
        <v>122</v>
      </c>
      <c r="L22" s="139" t="s">
        <v>122</v>
      </c>
      <c r="M22" s="158" t="s">
        <v>122</v>
      </c>
      <c r="N22" s="166" t="s">
        <v>122</v>
      </c>
      <c r="O22" s="166" t="s">
        <v>122</v>
      </c>
      <c r="P22" s="139" t="s">
        <v>122</v>
      </c>
      <c r="Q22" s="139"/>
    </row>
    <row r="23" spans="1:17">
      <c r="A23" s="97" t="s">
        <v>124</v>
      </c>
      <c r="B23" s="155">
        <v>1</v>
      </c>
      <c r="C23" s="135" t="s">
        <v>47</v>
      </c>
      <c r="D23" s="135" t="s">
        <v>47</v>
      </c>
      <c r="E23" s="135" t="s">
        <v>47</v>
      </c>
      <c r="F23" s="135" t="s">
        <v>47</v>
      </c>
      <c r="G23" s="135" t="s">
        <v>47</v>
      </c>
      <c r="H23" s="135" t="s">
        <v>47</v>
      </c>
      <c r="I23" s="135" t="s">
        <v>47</v>
      </c>
      <c r="J23" s="135" t="s">
        <v>47</v>
      </c>
      <c r="K23" s="135" t="s">
        <v>47</v>
      </c>
      <c r="L23" s="135" t="s">
        <v>47</v>
      </c>
      <c r="M23" s="135" t="s">
        <v>47</v>
      </c>
      <c r="N23" s="124" t="s">
        <v>47</v>
      </c>
      <c r="O23" s="124" t="s">
        <v>47</v>
      </c>
      <c r="P23" s="135" t="s">
        <v>47</v>
      </c>
      <c r="Q23" s="135"/>
    </row>
    <row r="24" spans="1:17">
      <c r="A24" s="97" t="s">
        <v>125</v>
      </c>
      <c r="B24" s="155"/>
      <c r="C24" s="139" t="s">
        <v>126</v>
      </c>
      <c r="D24" s="139" t="s">
        <v>126</v>
      </c>
      <c r="E24" s="139" t="s">
        <v>126</v>
      </c>
      <c r="F24" s="139" t="s">
        <v>126</v>
      </c>
      <c r="G24" s="97" t="s">
        <v>127</v>
      </c>
      <c r="H24" s="97" t="s">
        <v>128</v>
      </c>
      <c r="I24" s="139" t="s">
        <v>126</v>
      </c>
      <c r="J24" s="139" t="s">
        <v>126</v>
      </c>
      <c r="K24" s="139" t="s">
        <v>126</v>
      </c>
      <c r="L24" s="139" t="s">
        <v>126</v>
      </c>
      <c r="M24" s="158" t="s">
        <v>126</v>
      </c>
      <c r="N24" s="166" t="s">
        <v>126</v>
      </c>
      <c r="O24" s="166" t="s">
        <v>126</v>
      </c>
      <c r="P24" s="139" t="s">
        <v>126</v>
      </c>
      <c r="Q24" s="139"/>
    </row>
    <row r="25" spans="1:17" ht="25.5">
      <c r="A25" s="97" t="s">
        <v>129</v>
      </c>
      <c r="B25" s="155"/>
      <c r="C25" s="170" t="s">
        <v>130</v>
      </c>
      <c r="D25" s="170" t="s">
        <v>130</v>
      </c>
      <c r="E25" s="95" t="s">
        <v>130</v>
      </c>
      <c r="F25" s="95" t="s">
        <v>130</v>
      </c>
      <c r="G25" s="97" t="s">
        <v>131</v>
      </c>
      <c r="H25" s="97" t="s">
        <v>131</v>
      </c>
      <c r="I25" s="170" t="s">
        <v>130</v>
      </c>
      <c r="J25" s="170" t="s">
        <v>130</v>
      </c>
      <c r="K25" s="170" t="s">
        <v>130</v>
      </c>
      <c r="L25" s="170" t="s">
        <v>130</v>
      </c>
      <c r="M25" s="164" t="s">
        <v>232</v>
      </c>
      <c r="N25" s="124" t="s">
        <v>165</v>
      </c>
      <c r="O25" s="124" t="s">
        <v>165</v>
      </c>
      <c r="P25" s="170" t="s">
        <v>130</v>
      </c>
      <c r="Q25" s="170"/>
    </row>
    <row r="26" spans="1:17" ht="60" customHeight="1">
      <c r="A26" s="100" t="s">
        <v>132</v>
      </c>
      <c r="B26" s="142" t="s">
        <v>133</v>
      </c>
      <c r="C26" s="140" t="s">
        <v>233</v>
      </c>
      <c r="D26" s="140" t="s">
        <v>233</v>
      </c>
      <c r="E26" s="140" t="s">
        <v>234</v>
      </c>
      <c r="F26" s="140" t="s">
        <v>235</v>
      </c>
      <c r="G26" s="140" t="s">
        <v>233</v>
      </c>
      <c r="H26" s="140" t="s">
        <v>233</v>
      </c>
      <c r="I26" s="140" t="s">
        <v>236</v>
      </c>
      <c r="J26" s="140" t="s">
        <v>233</v>
      </c>
      <c r="K26" s="140" t="s">
        <v>233</v>
      </c>
      <c r="L26" s="140" t="s">
        <v>233</v>
      </c>
      <c r="M26" s="140" t="s">
        <v>237</v>
      </c>
      <c r="N26" s="124" t="s">
        <v>238</v>
      </c>
      <c r="O26" s="124" t="s">
        <v>238</v>
      </c>
      <c r="P26" s="140" t="s">
        <v>236</v>
      </c>
      <c r="Q26" s="140"/>
    </row>
    <row r="27" spans="1:17" ht="71.25" customHeight="1">
      <c r="A27" s="100" t="s">
        <v>140</v>
      </c>
      <c r="B27" s="142" t="s">
        <v>141</v>
      </c>
      <c r="C27" s="170" t="s">
        <v>239</v>
      </c>
      <c r="D27" s="170" t="s">
        <v>239</v>
      </c>
      <c r="E27" s="95" t="s">
        <v>240</v>
      </c>
      <c r="F27" s="95" t="s">
        <v>240</v>
      </c>
      <c r="G27" s="95" t="s">
        <v>240</v>
      </c>
      <c r="H27" s="95" t="s">
        <v>240</v>
      </c>
      <c r="I27" s="170" t="s">
        <v>239</v>
      </c>
      <c r="J27" s="170" t="s">
        <v>239</v>
      </c>
      <c r="K27" s="95" t="s">
        <v>240</v>
      </c>
      <c r="L27" s="95" t="s">
        <v>240</v>
      </c>
      <c r="M27" s="135" t="s">
        <v>241</v>
      </c>
      <c r="N27" s="168" t="s">
        <v>242</v>
      </c>
      <c r="O27" s="168" t="s">
        <v>242</v>
      </c>
      <c r="P27" s="95" t="s">
        <v>144</v>
      </c>
      <c r="Q27" s="170"/>
    </row>
    <row r="28" spans="1:17">
      <c r="A28" s="97" t="s">
        <v>145</v>
      </c>
      <c r="B28" s="155" t="s">
        <v>146</v>
      </c>
      <c r="C28" s="135" t="s">
        <v>47</v>
      </c>
      <c r="D28" s="135" t="s">
        <v>47</v>
      </c>
      <c r="E28" s="135" t="s">
        <v>47</v>
      </c>
      <c r="F28" s="135" t="s">
        <v>47</v>
      </c>
      <c r="G28" s="135" t="s">
        <v>47</v>
      </c>
      <c r="H28" s="135" t="s">
        <v>47</v>
      </c>
      <c r="I28" s="135" t="s">
        <v>47</v>
      </c>
      <c r="J28" s="135" t="s">
        <v>47</v>
      </c>
      <c r="K28" s="135" t="s">
        <v>47</v>
      </c>
      <c r="L28" s="135" t="s">
        <v>47</v>
      </c>
      <c r="M28" s="135" t="s">
        <v>47</v>
      </c>
      <c r="N28" s="124" t="s">
        <v>47</v>
      </c>
      <c r="O28" s="124" t="s">
        <v>47</v>
      </c>
      <c r="P28" s="135" t="s">
        <v>47</v>
      </c>
      <c r="Q28" s="135"/>
    </row>
    <row r="29" spans="1:17">
      <c r="A29" s="97" t="s">
        <v>147</v>
      </c>
      <c r="B29" s="155" t="s">
        <v>148</v>
      </c>
      <c r="C29" s="135" t="s">
        <v>47</v>
      </c>
      <c r="D29" s="135" t="s">
        <v>47</v>
      </c>
      <c r="E29" s="135" t="s">
        <v>47</v>
      </c>
      <c r="F29" s="135" t="s">
        <v>47</v>
      </c>
      <c r="G29" s="135" t="s">
        <v>47</v>
      </c>
      <c r="H29" s="135" t="s">
        <v>47</v>
      </c>
      <c r="I29" s="135" t="s">
        <v>47</v>
      </c>
      <c r="J29" s="135" t="s">
        <v>47</v>
      </c>
      <c r="K29" s="135" t="s">
        <v>47</v>
      </c>
      <c r="L29" s="135" t="s">
        <v>47</v>
      </c>
      <c r="M29" s="135" t="s">
        <v>47</v>
      </c>
      <c r="N29" s="168" t="s">
        <v>47</v>
      </c>
      <c r="O29" s="168" t="s">
        <v>47</v>
      </c>
      <c r="P29" s="135" t="s">
        <v>47</v>
      </c>
      <c r="Q29" s="135"/>
    </row>
    <row r="30" spans="1:17">
      <c r="A30" s="97" t="s">
        <v>149</v>
      </c>
      <c r="B30" s="155"/>
      <c r="C30" s="135" t="s">
        <v>150</v>
      </c>
      <c r="D30" s="135" t="s">
        <v>150</v>
      </c>
      <c r="E30" s="135" t="s">
        <v>150</v>
      </c>
      <c r="F30" s="135" t="s">
        <v>150</v>
      </c>
      <c r="G30" s="135" t="s">
        <v>150</v>
      </c>
      <c r="H30" s="135" t="s">
        <v>150</v>
      </c>
      <c r="I30" s="135" t="s">
        <v>150</v>
      </c>
      <c r="J30" s="135" t="s">
        <v>150</v>
      </c>
      <c r="K30" s="135" t="s">
        <v>150</v>
      </c>
      <c r="L30" s="135" t="s">
        <v>150</v>
      </c>
      <c r="M30" s="135" t="s">
        <v>150</v>
      </c>
      <c r="N30" s="124" t="s">
        <v>150</v>
      </c>
      <c r="O30" s="124" t="s">
        <v>150</v>
      </c>
      <c r="P30" s="135" t="s">
        <v>151</v>
      </c>
      <c r="Q30" s="135"/>
    </row>
    <row r="31" spans="1:17">
      <c r="C31" s="163"/>
      <c r="D31" s="97"/>
      <c r="E31" s="163"/>
      <c r="F31" s="97"/>
      <c r="G31" s="97"/>
      <c r="H31" s="97"/>
      <c r="I31" s="163"/>
      <c r="J31" s="97"/>
      <c r="K31" s="97"/>
      <c r="L31" s="97"/>
      <c r="M31" s="155"/>
      <c r="N31" s="126"/>
      <c r="O31" s="126"/>
      <c r="P31" s="97"/>
      <c r="Q31" s="163"/>
    </row>
    <row r="32" spans="1:17" ht="27" customHeight="1">
      <c r="A32" s="131" t="s">
        <v>152</v>
      </c>
      <c r="B32" s="89" t="s">
        <v>153</v>
      </c>
      <c r="C32" s="135"/>
      <c r="D32" s="97"/>
      <c r="E32" s="135"/>
      <c r="F32" s="97"/>
      <c r="G32" s="97"/>
      <c r="H32" s="97"/>
      <c r="I32" s="135"/>
      <c r="J32" s="97"/>
      <c r="K32" s="97"/>
      <c r="L32" s="97"/>
      <c r="M32" s="155"/>
      <c r="N32" s="126"/>
      <c r="O32" s="126"/>
      <c r="P32" s="97"/>
      <c r="Q32" s="135"/>
    </row>
    <row r="33" spans="1:17">
      <c r="A33" s="100" t="s">
        <v>154</v>
      </c>
      <c r="B33" s="142" t="s">
        <v>155</v>
      </c>
      <c r="C33" s="143" t="s">
        <v>47</v>
      </c>
      <c r="D33" s="143" t="s">
        <v>47</v>
      </c>
      <c r="E33" s="143" t="s">
        <v>47</v>
      </c>
      <c r="F33" s="143" t="s">
        <v>47</v>
      </c>
      <c r="G33" s="143" t="s">
        <v>47</v>
      </c>
      <c r="H33" s="143" t="s">
        <v>47</v>
      </c>
      <c r="I33" s="143" t="s">
        <v>47</v>
      </c>
      <c r="J33" s="143" t="s">
        <v>47</v>
      </c>
      <c r="K33" s="143" t="s">
        <v>47</v>
      </c>
      <c r="L33" s="143" t="s">
        <v>47</v>
      </c>
      <c r="M33" s="143" t="s">
        <v>47</v>
      </c>
      <c r="N33" s="169" t="s">
        <v>47</v>
      </c>
      <c r="O33" s="169" t="s">
        <v>47</v>
      </c>
      <c r="P33" s="143" t="s">
        <v>47</v>
      </c>
      <c r="Q33" s="143"/>
    </row>
    <row r="34" spans="1:17">
      <c r="A34" s="100" t="s">
        <v>156</v>
      </c>
      <c r="B34" s="142" t="s">
        <v>157</v>
      </c>
      <c r="C34" s="140" t="s">
        <v>158</v>
      </c>
      <c r="D34" s="140" t="s">
        <v>158</v>
      </c>
      <c r="E34" s="140" t="s">
        <v>158</v>
      </c>
      <c r="F34" s="140" t="s">
        <v>158</v>
      </c>
      <c r="G34" s="140" t="s">
        <v>158</v>
      </c>
      <c r="H34" s="140" t="s">
        <v>158</v>
      </c>
      <c r="I34" s="140" t="s">
        <v>158</v>
      </c>
      <c r="J34" s="140" t="s">
        <v>158</v>
      </c>
      <c r="K34" s="140" t="s">
        <v>158</v>
      </c>
      <c r="L34" s="140" t="s">
        <v>158</v>
      </c>
      <c r="M34" s="143" t="s">
        <v>47</v>
      </c>
      <c r="N34" s="104" t="s">
        <v>47</v>
      </c>
      <c r="O34" s="104" t="s">
        <v>47</v>
      </c>
      <c r="P34" s="140" t="s">
        <v>158</v>
      </c>
      <c r="Q34" s="143"/>
    </row>
    <row r="35" spans="1:17">
      <c r="A35" s="100" t="s">
        <v>159</v>
      </c>
      <c r="B35" s="144"/>
      <c r="C35" s="142">
        <v>1</v>
      </c>
      <c r="D35" s="142">
        <v>1</v>
      </c>
      <c r="E35" s="142">
        <v>1</v>
      </c>
      <c r="F35" s="142">
        <v>1</v>
      </c>
      <c r="G35" s="142">
        <v>1</v>
      </c>
      <c r="H35" s="142">
        <v>1</v>
      </c>
      <c r="I35" s="142">
        <v>1</v>
      </c>
      <c r="J35" s="142">
        <v>1</v>
      </c>
      <c r="K35" s="142">
        <v>1</v>
      </c>
      <c r="L35" s="142">
        <v>1</v>
      </c>
      <c r="M35" s="157">
        <v>1</v>
      </c>
      <c r="N35" s="104">
        <v>1</v>
      </c>
      <c r="O35" s="104">
        <v>1</v>
      </c>
      <c r="P35" s="142">
        <v>1</v>
      </c>
      <c r="Q35" s="142"/>
    </row>
    <row r="36" spans="1:17" ht="14.25" customHeight="1">
      <c r="A36" s="215" t="s">
        <v>160</v>
      </c>
      <c r="B36" s="216" t="s">
        <v>161</v>
      </c>
      <c r="C36" s="211" t="s">
        <v>47</v>
      </c>
      <c r="D36" s="211" t="s">
        <v>47</v>
      </c>
      <c r="E36" s="211" t="s">
        <v>47</v>
      </c>
      <c r="F36" s="211" t="s">
        <v>47</v>
      </c>
      <c r="G36" s="211" t="s">
        <v>47</v>
      </c>
      <c r="H36" s="211" t="s">
        <v>47</v>
      </c>
      <c r="I36" s="211" t="s">
        <v>47</v>
      </c>
      <c r="J36" s="211" t="s">
        <v>47</v>
      </c>
      <c r="K36" s="211" t="s">
        <v>47</v>
      </c>
      <c r="L36" s="211" t="s">
        <v>47</v>
      </c>
      <c r="M36" s="142" t="s">
        <v>47</v>
      </c>
      <c r="N36" s="104" t="s">
        <v>47</v>
      </c>
      <c r="O36" s="104" t="s">
        <v>47</v>
      </c>
      <c r="P36" s="211" t="s">
        <v>47</v>
      </c>
      <c r="Q36" s="211"/>
    </row>
    <row r="37" spans="1:17">
      <c r="A37" s="215"/>
      <c r="B37" s="217"/>
      <c r="C37" s="211"/>
      <c r="D37" s="211"/>
      <c r="E37" s="211"/>
      <c r="F37" s="211"/>
      <c r="G37" s="211"/>
      <c r="H37" s="211"/>
      <c r="I37" s="211"/>
      <c r="J37" s="211"/>
      <c r="K37" s="211"/>
      <c r="L37" s="211"/>
      <c r="M37" s="142" t="s">
        <v>47</v>
      </c>
      <c r="N37" s="174" t="s">
        <v>47</v>
      </c>
      <c r="O37" s="174" t="s">
        <v>47</v>
      </c>
      <c r="P37" s="211"/>
      <c r="Q37" s="211"/>
    </row>
    <row r="38" spans="1:17">
      <c r="A38" s="100" t="s">
        <v>162</v>
      </c>
      <c r="B38" s="143" t="s">
        <v>163</v>
      </c>
      <c r="C38" s="142" t="s">
        <v>47</v>
      </c>
      <c r="D38" s="142" t="s">
        <v>47</v>
      </c>
      <c r="E38" s="142" t="s">
        <v>47</v>
      </c>
      <c r="F38" s="142" t="s">
        <v>47</v>
      </c>
      <c r="G38" s="142" t="s">
        <v>47</v>
      </c>
      <c r="H38" s="142" t="s">
        <v>47</v>
      </c>
      <c r="I38" s="142" t="s">
        <v>47</v>
      </c>
      <c r="J38" s="142" t="s">
        <v>47</v>
      </c>
      <c r="K38" s="142" t="s">
        <v>47</v>
      </c>
      <c r="L38" s="142" t="s">
        <v>47</v>
      </c>
      <c r="M38" s="142" t="s">
        <v>165</v>
      </c>
      <c r="N38" s="104" t="s">
        <v>165</v>
      </c>
      <c r="O38" s="104" t="s">
        <v>165</v>
      </c>
      <c r="P38" s="142" t="s">
        <v>47</v>
      </c>
      <c r="Q38" s="142"/>
    </row>
    <row r="39" spans="1:17" ht="36">
      <c r="A39" s="100" t="s">
        <v>164</v>
      </c>
      <c r="B39" s="142" t="s">
        <v>165</v>
      </c>
      <c r="C39" s="142" t="s">
        <v>165</v>
      </c>
      <c r="D39" s="142" t="s">
        <v>165</v>
      </c>
      <c r="E39" s="142" t="s">
        <v>165</v>
      </c>
      <c r="F39" s="142" t="s">
        <v>165</v>
      </c>
      <c r="G39" s="142" t="s">
        <v>165</v>
      </c>
      <c r="H39" s="142" t="s">
        <v>165</v>
      </c>
      <c r="I39" s="142" t="s">
        <v>165</v>
      </c>
      <c r="J39" s="142" t="s">
        <v>165</v>
      </c>
      <c r="K39" s="142" t="s">
        <v>165</v>
      </c>
      <c r="L39" s="142" t="s">
        <v>165</v>
      </c>
      <c r="M39" s="142" t="s">
        <v>165</v>
      </c>
      <c r="N39" s="104" t="s">
        <v>165</v>
      </c>
      <c r="O39" s="104" t="s">
        <v>165</v>
      </c>
      <c r="P39" s="142" t="s">
        <v>165</v>
      </c>
      <c r="Q39" s="142"/>
    </row>
    <row r="40" spans="1:17" ht="36">
      <c r="A40" s="100" t="s">
        <v>166</v>
      </c>
      <c r="B40" s="142" t="s">
        <v>165</v>
      </c>
      <c r="C40" s="142" t="s">
        <v>165</v>
      </c>
      <c r="D40" s="142" t="s">
        <v>165</v>
      </c>
      <c r="E40" s="142" t="s">
        <v>165</v>
      </c>
      <c r="F40" s="142" t="s">
        <v>165</v>
      </c>
      <c r="G40" s="142" t="s">
        <v>165</v>
      </c>
      <c r="H40" s="142" t="s">
        <v>165</v>
      </c>
      <c r="I40" s="142" t="s">
        <v>165</v>
      </c>
      <c r="J40" s="142" t="s">
        <v>165</v>
      </c>
      <c r="K40" s="142" t="s">
        <v>165</v>
      </c>
      <c r="L40" s="142" t="s">
        <v>165</v>
      </c>
      <c r="M40" s="142" t="s">
        <v>47</v>
      </c>
      <c r="N40" s="104" t="s">
        <v>47</v>
      </c>
      <c r="O40" s="104" t="s">
        <v>47</v>
      </c>
      <c r="P40" s="142" t="s">
        <v>165</v>
      </c>
      <c r="Q40" s="142"/>
    </row>
    <row r="41" spans="1:17" ht="24">
      <c r="A41" s="100" t="s">
        <v>167</v>
      </c>
      <c r="B41" s="142" t="s">
        <v>168</v>
      </c>
      <c r="C41" s="142" t="s">
        <v>47</v>
      </c>
      <c r="D41" s="142" t="s">
        <v>47</v>
      </c>
      <c r="E41" s="142" t="s">
        <v>47</v>
      </c>
      <c r="F41" s="142" t="s">
        <v>47</v>
      </c>
      <c r="G41" s="142" t="s">
        <v>47</v>
      </c>
      <c r="H41" s="142" t="s">
        <v>47</v>
      </c>
      <c r="I41" s="142" t="s">
        <v>47</v>
      </c>
      <c r="J41" s="142" t="s">
        <v>47</v>
      </c>
      <c r="K41" s="142" t="s">
        <v>47</v>
      </c>
      <c r="L41" s="142" t="s">
        <v>47</v>
      </c>
      <c r="M41" s="142" t="s">
        <v>165</v>
      </c>
      <c r="N41" s="104" t="s">
        <v>165</v>
      </c>
      <c r="O41" s="104" t="s">
        <v>165</v>
      </c>
      <c r="P41" s="142" t="s">
        <v>47</v>
      </c>
      <c r="Q41" s="142"/>
    </row>
    <row r="42" spans="1:17" ht="24">
      <c r="A42" s="100" t="s">
        <v>169</v>
      </c>
      <c r="B42" s="142" t="s">
        <v>165</v>
      </c>
      <c r="C42" s="142" t="s">
        <v>165</v>
      </c>
      <c r="D42" s="142" t="s">
        <v>165</v>
      </c>
      <c r="E42" s="142" t="s">
        <v>165</v>
      </c>
      <c r="F42" s="142" t="s">
        <v>165</v>
      </c>
      <c r="G42" s="142" t="s">
        <v>165</v>
      </c>
      <c r="H42" s="142" t="s">
        <v>165</v>
      </c>
      <c r="I42" s="142" t="s">
        <v>165</v>
      </c>
      <c r="J42" s="142" t="s">
        <v>165</v>
      </c>
      <c r="K42" s="142" t="s">
        <v>165</v>
      </c>
      <c r="L42" s="142" t="s">
        <v>165</v>
      </c>
      <c r="M42" s="142" t="s">
        <v>165</v>
      </c>
      <c r="N42" s="104" t="s">
        <v>165</v>
      </c>
      <c r="O42" s="104" t="s">
        <v>165</v>
      </c>
      <c r="P42" s="142" t="s">
        <v>165</v>
      </c>
      <c r="Q42" s="142"/>
    </row>
    <row r="43" spans="1:17" ht="24">
      <c r="A43" s="100" t="s">
        <v>170</v>
      </c>
      <c r="B43" s="142" t="s">
        <v>165</v>
      </c>
      <c r="C43" s="142" t="s">
        <v>165</v>
      </c>
      <c r="D43" s="142" t="s">
        <v>165</v>
      </c>
      <c r="E43" s="142" t="s">
        <v>165</v>
      </c>
      <c r="F43" s="142" t="s">
        <v>165</v>
      </c>
      <c r="G43" s="142" t="s">
        <v>165</v>
      </c>
      <c r="H43" s="142" t="s">
        <v>165</v>
      </c>
      <c r="I43" s="142" t="s">
        <v>165</v>
      </c>
      <c r="J43" s="142" t="s">
        <v>165</v>
      </c>
      <c r="K43" s="142" t="s">
        <v>165</v>
      </c>
      <c r="L43" s="142" t="s">
        <v>165</v>
      </c>
      <c r="N43" s="123"/>
      <c r="O43" s="123"/>
      <c r="P43" s="142" t="s">
        <v>165</v>
      </c>
      <c r="Q43" s="142"/>
    </row>
    <row r="44" spans="1:17">
      <c r="A44" s="129" t="s">
        <v>171</v>
      </c>
      <c r="D44" s="146"/>
      <c r="F44" s="146"/>
      <c r="J44" s="146"/>
    </row>
  </sheetData>
  <mergeCells count="19">
    <mergeCell ref="I2:J2"/>
    <mergeCell ref="K2:L2"/>
    <mergeCell ref="N2:O2"/>
    <mergeCell ref="A36:A37"/>
    <mergeCell ref="B36:B37"/>
    <mergeCell ref="C36:C37"/>
    <mergeCell ref="D36:D37"/>
    <mergeCell ref="H36:H37"/>
    <mergeCell ref="C2:D2"/>
    <mergeCell ref="E36:E37"/>
    <mergeCell ref="F36:F37"/>
    <mergeCell ref="G36:G37"/>
    <mergeCell ref="E2:H2"/>
    <mergeCell ref="Q36:Q37"/>
    <mergeCell ref="I36:I37"/>
    <mergeCell ref="J36:J37"/>
    <mergeCell ref="K36:K37"/>
    <mergeCell ref="L36:L37"/>
    <mergeCell ref="P36:P37"/>
  </mergeCells>
  <phoneticPr fontId="1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pane xSplit="2" ySplit="3" topLeftCell="E13" activePane="bottomRight" state="frozen"/>
      <selection pane="topRight"/>
      <selection pane="bottomLeft"/>
      <selection pane="bottomRight" activeCell="G18" sqref="G18"/>
    </sheetView>
  </sheetViews>
  <sheetFormatPr defaultColWidth="9.28515625" defaultRowHeight="14.25"/>
  <cols>
    <col min="1" max="1" width="29.42578125" style="84" customWidth="1"/>
    <col min="2" max="2" width="40.7109375" style="84" customWidth="1"/>
    <col min="3" max="3" width="31.42578125" style="130" customWidth="1"/>
    <col min="4" max="13" width="31.42578125" style="85" customWidth="1"/>
    <col min="14" max="16384" width="9.28515625" style="84"/>
  </cols>
  <sheetData>
    <row r="1" spans="1:13">
      <c r="A1" s="131" t="s">
        <v>37</v>
      </c>
      <c r="B1" s="85"/>
    </row>
    <row r="2" spans="1:13" ht="24">
      <c r="A2" s="131" t="s">
        <v>38</v>
      </c>
      <c r="B2" s="89" t="s">
        <v>39</v>
      </c>
      <c r="C2" s="218" t="s">
        <v>5</v>
      </c>
      <c r="D2" s="220"/>
      <c r="E2" s="90" t="s">
        <v>20</v>
      </c>
      <c r="F2" s="218" t="s">
        <v>506</v>
      </c>
      <c r="G2" s="220"/>
      <c r="H2" s="111"/>
      <c r="I2" s="111"/>
      <c r="J2" s="111"/>
      <c r="K2" s="111"/>
      <c r="L2" s="111"/>
      <c r="M2" s="111"/>
    </row>
    <row r="3" spans="1:13">
      <c r="A3" s="131"/>
      <c r="B3" s="89"/>
      <c r="C3" s="132" t="s">
        <v>41</v>
      </c>
      <c r="D3" s="133" t="s">
        <v>42</v>
      </c>
      <c r="E3" s="147" t="s">
        <v>42</v>
      </c>
      <c r="F3" s="132" t="s">
        <v>41</v>
      </c>
      <c r="G3" s="133" t="s">
        <v>42</v>
      </c>
      <c r="H3" s="111"/>
      <c r="I3" s="111"/>
      <c r="J3" s="111"/>
      <c r="K3" s="111"/>
      <c r="L3" s="111"/>
      <c r="M3" s="111"/>
    </row>
    <row r="4" spans="1:13">
      <c r="A4" s="97" t="s">
        <v>45</v>
      </c>
      <c r="B4" s="134" t="s">
        <v>46</v>
      </c>
      <c r="C4" s="135" t="s">
        <v>47</v>
      </c>
      <c r="D4" s="135" t="s">
        <v>47</v>
      </c>
      <c r="E4" s="148" t="s">
        <v>47</v>
      </c>
      <c r="F4" s="135" t="s">
        <v>47</v>
      </c>
      <c r="G4" s="135" t="s">
        <v>47</v>
      </c>
      <c r="H4" s="97"/>
      <c r="I4" s="97"/>
      <c r="J4" s="97"/>
      <c r="K4" s="97"/>
      <c r="L4" s="97"/>
      <c r="M4" s="97"/>
    </row>
    <row r="5" spans="1:13">
      <c r="A5" s="119" t="s">
        <v>48</v>
      </c>
      <c r="B5" s="134"/>
      <c r="C5" s="135" t="s">
        <v>49</v>
      </c>
      <c r="D5" s="97" t="s">
        <v>50</v>
      </c>
      <c r="E5" s="148" t="s">
        <v>50</v>
      </c>
      <c r="F5" s="135" t="s">
        <v>49</v>
      </c>
      <c r="G5" s="97" t="s">
        <v>50</v>
      </c>
      <c r="H5" s="97"/>
      <c r="I5" s="97"/>
      <c r="J5" s="97"/>
      <c r="K5" s="97"/>
      <c r="L5" s="97"/>
      <c r="M5" s="97"/>
    </row>
    <row r="6" spans="1:13">
      <c r="A6" s="119" t="s">
        <v>51</v>
      </c>
      <c r="B6" s="134" t="s">
        <v>214</v>
      </c>
      <c r="C6" s="135" t="s">
        <v>47</v>
      </c>
      <c r="D6" s="135" t="s">
        <v>47</v>
      </c>
      <c r="E6" s="148" t="s">
        <v>47</v>
      </c>
      <c r="F6" s="135" t="s">
        <v>47</v>
      </c>
      <c r="G6" s="135" t="s">
        <v>47</v>
      </c>
      <c r="H6" s="97"/>
      <c r="I6" s="97"/>
      <c r="J6" s="97"/>
      <c r="K6" s="97"/>
      <c r="L6" s="97"/>
      <c r="M6" s="97"/>
    </row>
    <row r="7" spans="1:13">
      <c r="A7" s="119" t="s">
        <v>52</v>
      </c>
      <c r="B7" s="134" t="s">
        <v>173</v>
      </c>
      <c r="C7" s="135" t="s">
        <v>47</v>
      </c>
      <c r="D7" s="135" t="s">
        <v>47</v>
      </c>
      <c r="E7" s="148" t="s">
        <v>47</v>
      </c>
      <c r="F7" s="135" t="s">
        <v>47</v>
      </c>
      <c r="G7" s="135" t="s">
        <v>47</v>
      </c>
      <c r="H7" s="97"/>
      <c r="I7" s="97"/>
      <c r="J7" s="97"/>
      <c r="K7" s="97"/>
      <c r="L7" s="97"/>
      <c r="M7" s="97"/>
    </row>
    <row r="8" spans="1:13" ht="36">
      <c r="A8" s="97" t="s">
        <v>174</v>
      </c>
      <c r="B8" s="95" t="s">
        <v>55</v>
      </c>
      <c r="C8" s="135" t="s">
        <v>47</v>
      </c>
      <c r="D8" s="135" t="s">
        <v>47</v>
      </c>
      <c r="E8" s="148" t="s">
        <v>47</v>
      </c>
      <c r="F8" s="135" t="s">
        <v>47</v>
      </c>
      <c r="G8" s="135" t="s">
        <v>47</v>
      </c>
      <c r="H8" s="97"/>
      <c r="I8" s="97"/>
      <c r="J8" s="97"/>
      <c r="K8" s="97"/>
      <c r="L8" s="97"/>
      <c r="M8" s="84"/>
    </row>
    <row r="9" spans="1:13" ht="24">
      <c r="A9" s="119" t="s">
        <v>57</v>
      </c>
      <c r="B9" s="95" t="s">
        <v>58</v>
      </c>
      <c r="C9" s="135" t="s">
        <v>59</v>
      </c>
      <c r="D9" s="135" t="s">
        <v>60</v>
      </c>
      <c r="E9" s="149" t="s">
        <v>62</v>
      </c>
      <c r="F9" s="135" t="s">
        <v>59</v>
      </c>
      <c r="G9" s="135" t="s">
        <v>503</v>
      </c>
      <c r="H9" s="97"/>
      <c r="I9" s="97"/>
      <c r="J9" s="97"/>
      <c r="K9" s="97"/>
      <c r="L9" s="97"/>
      <c r="M9" s="97"/>
    </row>
    <row r="10" spans="1:13" ht="60">
      <c r="A10" s="96" t="s">
        <v>63</v>
      </c>
      <c r="B10" s="137" t="s">
        <v>64</v>
      </c>
      <c r="C10" s="135" t="s">
        <v>47</v>
      </c>
      <c r="D10" s="135" t="s">
        <v>47</v>
      </c>
      <c r="E10" s="148" t="s">
        <v>47</v>
      </c>
      <c r="F10" s="135" t="s">
        <v>47</v>
      </c>
      <c r="G10" s="135" t="s">
        <v>47</v>
      </c>
      <c r="H10" s="97"/>
      <c r="I10" s="97"/>
      <c r="J10" s="97"/>
      <c r="K10" s="97"/>
      <c r="L10" s="97"/>
      <c r="M10" s="97"/>
    </row>
    <row r="11" spans="1:13" ht="24">
      <c r="A11" s="119" t="s">
        <v>65</v>
      </c>
      <c r="B11" s="135" t="s">
        <v>66</v>
      </c>
      <c r="C11" s="135" t="s">
        <v>47</v>
      </c>
      <c r="D11" s="135" t="s">
        <v>47</v>
      </c>
      <c r="E11" s="148" t="s">
        <v>47</v>
      </c>
      <c r="F11" s="135" t="s">
        <v>47</v>
      </c>
      <c r="G11" s="135" t="s">
        <v>47</v>
      </c>
      <c r="H11" s="97"/>
      <c r="I11" s="97"/>
      <c r="J11" s="97"/>
      <c r="K11" s="97"/>
      <c r="L11" s="97"/>
      <c r="M11" s="97"/>
    </row>
    <row r="12" spans="1:13" ht="24">
      <c r="A12" s="119" t="s">
        <v>67</v>
      </c>
      <c r="B12" s="134"/>
      <c r="C12" s="135" t="s">
        <v>175</v>
      </c>
      <c r="D12" s="97" t="s">
        <v>69</v>
      </c>
      <c r="E12" s="149" t="s">
        <v>71</v>
      </c>
      <c r="F12" s="135" t="s">
        <v>175</v>
      </c>
      <c r="G12" s="97" t="s">
        <v>69</v>
      </c>
      <c r="H12" s="97"/>
      <c r="I12" s="97"/>
      <c r="J12" s="97"/>
      <c r="K12" s="97"/>
      <c r="L12" s="97"/>
      <c r="M12" s="97"/>
    </row>
    <row r="13" spans="1:13">
      <c r="A13" s="119" t="s">
        <v>73</v>
      </c>
      <c r="B13" s="134"/>
      <c r="C13" s="97" t="s">
        <v>243</v>
      </c>
      <c r="D13" s="97" t="s">
        <v>243</v>
      </c>
      <c r="E13" s="148" t="s">
        <v>177</v>
      </c>
      <c r="F13" s="97" t="s">
        <v>243</v>
      </c>
      <c r="G13" s="97" t="s">
        <v>243</v>
      </c>
      <c r="H13" s="97"/>
      <c r="I13" s="97"/>
      <c r="J13" s="97"/>
      <c r="K13" s="97"/>
      <c r="L13" s="97"/>
      <c r="M13" s="97"/>
    </row>
    <row r="14" spans="1:13">
      <c r="A14" s="119" t="s">
        <v>178</v>
      </c>
      <c r="B14" s="134"/>
      <c r="C14" s="152" t="s">
        <v>179</v>
      </c>
      <c r="D14" s="152" t="s">
        <v>179</v>
      </c>
      <c r="E14" s="148" t="s">
        <v>183</v>
      </c>
      <c r="F14" s="152" t="s">
        <v>179</v>
      </c>
      <c r="G14" s="152" t="s">
        <v>179</v>
      </c>
      <c r="H14" s="97"/>
      <c r="I14" s="97"/>
      <c r="J14" s="97"/>
      <c r="K14" s="97"/>
      <c r="L14" s="97"/>
      <c r="M14" s="97"/>
    </row>
    <row r="15" spans="1:13">
      <c r="A15" s="119" t="s">
        <v>95</v>
      </c>
      <c r="B15" s="134"/>
      <c r="C15" s="152" t="s">
        <v>179</v>
      </c>
      <c r="D15" s="152" t="s">
        <v>179</v>
      </c>
      <c r="E15" s="148" t="s">
        <v>89</v>
      </c>
      <c r="F15" s="152" t="s">
        <v>179</v>
      </c>
      <c r="G15" s="152" t="s">
        <v>179</v>
      </c>
      <c r="H15" s="97"/>
      <c r="I15" s="97"/>
      <c r="J15" s="97"/>
      <c r="K15" s="97"/>
      <c r="L15" s="97"/>
      <c r="M15" s="97"/>
    </row>
    <row r="16" spans="1:13" ht="24">
      <c r="A16" s="119" t="s">
        <v>100</v>
      </c>
      <c r="B16" s="134"/>
      <c r="C16" s="139" t="s">
        <v>244</v>
      </c>
      <c r="D16" s="139" t="s">
        <v>244</v>
      </c>
      <c r="E16" s="148" t="s">
        <v>185</v>
      </c>
      <c r="F16" s="139" t="s">
        <v>504</v>
      </c>
      <c r="G16" s="139" t="s">
        <v>504</v>
      </c>
      <c r="H16" s="97"/>
      <c r="I16" s="97"/>
      <c r="J16" s="97"/>
      <c r="K16" s="97"/>
      <c r="L16" s="97"/>
      <c r="M16" s="97"/>
    </row>
    <row r="17" spans="1:13" ht="24">
      <c r="A17" s="97" t="s">
        <v>104</v>
      </c>
      <c r="B17" s="95" t="s">
        <v>105</v>
      </c>
      <c r="C17" s="135" t="s">
        <v>47</v>
      </c>
      <c r="D17" s="135" t="s">
        <v>47</v>
      </c>
      <c r="E17" s="148" t="s">
        <v>47</v>
      </c>
      <c r="F17" s="135" t="s">
        <v>47</v>
      </c>
      <c r="G17" s="135" t="s">
        <v>47</v>
      </c>
      <c r="H17" s="97"/>
      <c r="I17" s="97"/>
      <c r="J17" s="97"/>
      <c r="K17" s="97"/>
      <c r="L17" s="97"/>
      <c r="M17" s="84"/>
    </row>
    <row r="18" spans="1:13" ht="96">
      <c r="A18" s="119" t="s">
        <v>107</v>
      </c>
      <c r="B18" s="95" t="s">
        <v>108</v>
      </c>
      <c r="C18" s="135" t="s">
        <v>515</v>
      </c>
      <c r="D18" s="135" t="s">
        <v>245</v>
      </c>
      <c r="E18" s="149" t="s">
        <v>192</v>
      </c>
      <c r="F18" s="135" t="s">
        <v>516</v>
      </c>
      <c r="G18" s="135" t="s">
        <v>516</v>
      </c>
      <c r="H18" s="97"/>
      <c r="I18" s="97"/>
      <c r="J18" s="97"/>
      <c r="K18" s="97"/>
      <c r="L18" s="97"/>
      <c r="M18" s="97"/>
    </row>
    <row r="19" spans="1:13" ht="60" customHeight="1">
      <c r="A19" s="100" t="s">
        <v>132</v>
      </c>
      <c r="B19" s="100" t="s">
        <v>133</v>
      </c>
      <c r="C19" s="140" t="s">
        <v>246</v>
      </c>
      <c r="D19" s="140" t="s">
        <v>246</v>
      </c>
      <c r="E19" s="149" t="s">
        <v>247</v>
      </c>
      <c r="F19" s="140" t="s">
        <v>246</v>
      </c>
      <c r="G19" s="140" t="s">
        <v>246</v>
      </c>
      <c r="H19" s="97"/>
      <c r="I19" s="97"/>
      <c r="J19" s="97"/>
      <c r="K19" s="97"/>
      <c r="L19" s="97"/>
      <c r="M19" s="97"/>
    </row>
    <row r="20" spans="1:13" ht="114" customHeight="1">
      <c r="A20" s="100" t="s">
        <v>140</v>
      </c>
      <c r="B20" s="100" t="s">
        <v>141</v>
      </c>
      <c r="C20" s="95" t="s">
        <v>248</v>
      </c>
      <c r="D20" s="95" t="s">
        <v>248</v>
      </c>
      <c r="E20" s="149" t="s">
        <v>249</v>
      </c>
      <c r="F20" s="95" t="s">
        <v>505</v>
      </c>
      <c r="G20" s="95" t="s">
        <v>505</v>
      </c>
      <c r="H20" s="97"/>
      <c r="I20" s="97"/>
      <c r="J20" s="97"/>
      <c r="K20" s="97"/>
      <c r="L20" s="97"/>
      <c r="M20" s="97"/>
    </row>
    <row r="21" spans="1:13" ht="20.25" customHeight="1">
      <c r="A21" s="100" t="s">
        <v>200</v>
      </c>
      <c r="B21" s="142">
        <v>1</v>
      </c>
      <c r="C21" s="135" t="s">
        <v>47</v>
      </c>
      <c r="D21" s="135" t="s">
        <v>47</v>
      </c>
      <c r="E21" s="148" t="s">
        <v>47</v>
      </c>
      <c r="F21" s="135" t="s">
        <v>47</v>
      </c>
      <c r="G21" s="135" t="s">
        <v>47</v>
      </c>
      <c r="H21" s="97"/>
      <c r="I21" s="97"/>
      <c r="J21" s="97"/>
      <c r="K21" s="97"/>
      <c r="L21" s="97"/>
      <c r="M21" s="97"/>
    </row>
    <row r="22" spans="1:13" ht="36" customHeight="1">
      <c r="A22" s="100" t="s">
        <v>201</v>
      </c>
      <c r="B22" s="100"/>
      <c r="C22" s="140" t="s">
        <v>202</v>
      </c>
      <c r="D22" s="140" t="s">
        <v>202</v>
      </c>
      <c r="E22" s="149" t="s">
        <v>202</v>
      </c>
      <c r="F22" s="140" t="s">
        <v>202</v>
      </c>
      <c r="G22" s="140" t="s">
        <v>202</v>
      </c>
      <c r="H22" s="97"/>
      <c r="I22" s="97"/>
      <c r="J22" s="97"/>
      <c r="K22" s="97"/>
      <c r="L22" s="97"/>
      <c r="M22" s="97"/>
    </row>
    <row r="23" spans="1:13">
      <c r="A23" s="119" t="s">
        <v>145</v>
      </c>
      <c r="B23" s="134" t="s">
        <v>146</v>
      </c>
      <c r="C23" s="135" t="s">
        <v>47</v>
      </c>
      <c r="D23" s="135" t="s">
        <v>47</v>
      </c>
      <c r="E23" s="148" t="s">
        <v>47</v>
      </c>
      <c r="F23" s="135" t="s">
        <v>47</v>
      </c>
      <c r="G23" s="135" t="s">
        <v>47</v>
      </c>
      <c r="H23" s="97"/>
      <c r="I23" s="97"/>
      <c r="J23" s="97"/>
      <c r="K23" s="97"/>
      <c r="L23" s="97"/>
      <c r="M23" s="97"/>
    </row>
    <row r="24" spans="1:13">
      <c r="A24" s="119" t="s">
        <v>147</v>
      </c>
      <c r="B24" s="134" t="s">
        <v>148</v>
      </c>
      <c r="C24" s="135" t="s">
        <v>47</v>
      </c>
      <c r="D24" s="135" t="s">
        <v>47</v>
      </c>
      <c r="E24" s="148" t="s">
        <v>47</v>
      </c>
      <c r="F24" s="135" t="s">
        <v>47</v>
      </c>
      <c r="G24" s="135" t="s">
        <v>47</v>
      </c>
      <c r="H24" s="97"/>
      <c r="I24" s="97"/>
      <c r="J24" s="97"/>
      <c r="K24" s="97"/>
      <c r="L24" s="97"/>
      <c r="M24" s="97"/>
    </row>
    <row r="25" spans="1:13">
      <c r="A25" s="97" t="s">
        <v>149</v>
      </c>
      <c r="B25" s="134"/>
      <c r="C25" s="135" t="s">
        <v>150</v>
      </c>
      <c r="D25" s="135" t="s">
        <v>150</v>
      </c>
      <c r="E25" s="148" t="s">
        <v>150</v>
      </c>
      <c r="F25" s="135" t="s">
        <v>150</v>
      </c>
      <c r="G25" s="135" t="s">
        <v>150</v>
      </c>
      <c r="H25" s="97"/>
      <c r="I25" s="97"/>
      <c r="J25" s="97"/>
      <c r="K25" s="97"/>
      <c r="L25" s="97"/>
      <c r="M25" s="97"/>
    </row>
    <row r="26" spans="1:13">
      <c r="A26" s="97" t="s">
        <v>204</v>
      </c>
      <c r="B26" s="134"/>
      <c r="C26" s="140" t="s">
        <v>208</v>
      </c>
      <c r="D26" s="140" t="s">
        <v>208</v>
      </c>
      <c r="E26" s="140" t="s">
        <v>206</v>
      </c>
      <c r="F26" s="140" t="s">
        <v>208</v>
      </c>
      <c r="G26" s="140" t="s">
        <v>208</v>
      </c>
      <c r="H26" s="97"/>
      <c r="I26" s="97"/>
      <c r="J26" s="97"/>
      <c r="K26" s="97"/>
      <c r="L26" s="97"/>
      <c r="M26" s="97"/>
    </row>
    <row r="27" spans="1:13" ht="48">
      <c r="A27" s="97" t="s">
        <v>209</v>
      </c>
      <c r="B27" s="97"/>
      <c r="C27" s="95" t="s">
        <v>210</v>
      </c>
      <c r="D27" s="95" t="s">
        <v>210</v>
      </c>
      <c r="E27" s="148" t="s">
        <v>89</v>
      </c>
      <c r="F27" s="95" t="s">
        <v>210</v>
      </c>
      <c r="G27" s="95" t="s">
        <v>210</v>
      </c>
      <c r="H27" s="97"/>
      <c r="I27" s="97"/>
      <c r="J27" s="97"/>
      <c r="K27" s="97"/>
      <c r="L27" s="97"/>
      <c r="M27" s="97"/>
    </row>
    <row r="28" spans="1:13">
      <c r="A28" s="98"/>
      <c r="B28" s="98"/>
      <c r="C28" s="135"/>
      <c r="D28" s="97"/>
      <c r="E28" s="148"/>
      <c r="F28" s="135"/>
      <c r="G28" s="97"/>
      <c r="H28" s="97"/>
      <c r="I28" s="97"/>
      <c r="J28" s="97"/>
      <c r="K28" s="97"/>
      <c r="L28" s="97"/>
      <c r="M28" s="97"/>
    </row>
    <row r="29" spans="1:13">
      <c r="A29" s="131" t="s">
        <v>152</v>
      </c>
      <c r="B29" s="89" t="s">
        <v>153</v>
      </c>
      <c r="C29" s="135"/>
      <c r="D29" s="97"/>
      <c r="E29" s="148"/>
      <c r="F29" s="135"/>
      <c r="G29" s="97"/>
      <c r="H29" s="97"/>
      <c r="I29" s="97"/>
      <c r="J29" s="97"/>
      <c r="K29" s="97"/>
      <c r="L29" s="97"/>
      <c r="M29" s="97"/>
    </row>
    <row r="30" spans="1:13">
      <c r="A30" s="100" t="s">
        <v>154</v>
      </c>
      <c r="B30" s="142" t="s">
        <v>155</v>
      </c>
      <c r="C30" s="143" t="s">
        <v>47</v>
      </c>
      <c r="D30" s="143" t="s">
        <v>47</v>
      </c>
      <c r="E30" s="148" t="s">
        <v>47</v>
      </c>
      <c r="F30" s="143" t="s">
        <v>47</v>
      </c>
      <c r="G30" s="143" t="s">
        <v>47</v>
      </c>
      <c r="H30" s="97"/>
      <c r="I30" s="97"/>
      <c r="J30" s="97"/>
      <c r="K30" s="97"/>
      <c r="L30" s="97"/>
      <c r="M30" s="97"/>
    </row>
    <row r="31" spans="1:13">
      <c r="A31" s="100" t="s">
        <v>156</v>
      </c>
      <c r="B31" s="142" t="s">
        <v>157</v>
      </c>
      <c r="C31" s="140" t="s">
        <v>158</v>
      </c>
      <c r="D31" s="140" t="s">
        <v>158</v>
      </c>
      <c r="E31" s="148" t="s">
        <v>158</v>
      </c>
      <c r="F31" s="140" t="s">
        <v>158</v>
      </c>
      <c r="G31" s="140" t="s">
        <v>158</v>
      </c>
      <c r="H31" s="97"/>
      <c r="I31" s="97"/>
      <c r="J31" s="97"/>
      <c r="K31" s="97"/>
      <c r="L31" s="97"/>
      <c r="M31" s="97"/>
    </row>
    <row r="32" spans="1:13">
      <c r="A32" s="100" t="s">
        <v>159</v>
      </c>
      <c r="B32" s="144"/>
      <c r="C32" s="142">
        <v>1</v>
      </c>
      <c r="D32" s="142">
        <v>1</v>
      </c>
      <c r="E32" s="156">
        <v>1</v>
      </c>
      <c r="F32" s="194">
        <v>1</v>
      </c>
      <c r="G32" s="194">
        <v>1</v>
      </c>
      <c r="H32" s="97"/>
      <c r="I32" s="97"/>
      <c r="J32" s="97"/>
      <c r="K32" s="97"/>
      <c r="L32" s="97"/>
      <c r="M32" s="97"/>
    </row>
    <row r="33" spans="1:13" ht="14.25" customHeight="1">
      <c r="A33" s="215" t="s">
        <v>160</v>
      </c>
      <c r="B33" s="216" t="s">
        <v>161</v>
      </c>
      <c r="C33" s="211" t="s">
        <v>47</v>
      </c>
      <c r="D33" s="211" t="s">
        <v>47</v>
      </c>
      <c r="E33" s="221" t="s">
        <v>47</v>
      </c>
      <c r="F33" s="211" t="s">
        <v>47</v>
      </c>
      <c r="G33" s="211" t="s">
        <v>47</v>
      </c>
      <c r="H33" s="97"/>
      <c r="I33" s="97"/>
      <c r="J33" s="97"/>
      <c r="K33" s="97"/>
      <c r="L33" s="97"/>
      <c r="M33" s="97"/>
    </row>
    <row r="34" spans="1:13">
      <c r="A34" s="215"/>
      <c r="B34" s="217"/>
      <c r="C34" s="211"/>
      <c r="D34" s="211"/>
      <c r="E34" s="222"/>
      <c r="F34" s="211"/>
      <c r="G34" s="211"/>
      <c r="H34" s="97"/>
      <c r="I34" s="97"/>
      <c r="J34" s="97"/>
      <c r="K34" s="97"/>
      <c r="L34" s="97"/>
      <c r="M34" s="97"/>
    </row>
    <row r="35" spans="1:13">
      <c r="A35" s="100" t="s">
        <v>162</v>
      </c>
      <c r="B35" s="143" t="s">
        <v>163</v>
      </c>
      <c r="C35" s="142" t="s">
        <v>47</v>
      </c>
      <c r="D35" s="142" t="s">
        <v>47</v>
      </c>
      <c r="E35" s="148" t="s">
        <v>47</v>
      </c>
      <c r="F35" s="194" t="s">
        <v>47</v>
      </c>
      <c r="G35" s="194" t="s">
        <v>47</v>
      </c>
      <c r="H35" s="97"/>
      <c r="I35" s="97"/>
      <c r="J35" s="97"/>
      <c r="K35" s="97"/>
      <c r="L35" s="97"/>
      <c r="M35" s="97"/>
    </row>
    <row r="36" spans="1:13" ht="36">
      <c r="A36" s="100" t="s">
        <v>164</v>
      </c>
      <c r="B36" s="142" t="s">
        <v>165</v>
      </c>
      <c r="C36" s="142" t="s">
        <v>165</v>
      </c>
      <c r="D36" s="142" t="s">
        <v>165</v>
      </c>
      <c r="E36" s="148" t="s">
        <v>165</v>
      </c>
      <c r="F36" s="194" t="s">
        <v>165</v>
      </c>
      <c r="G36" s="194" t="s">
        <v>165</v>
      </c>
      <c r="H36" s="97"/>
      <c r="I36" s="97"/>
      <c r="J36" s="97"/>
      <c r="K36" s="97"/>
      <c r="L36" s="97"/>
      <c r="M36" s="97"/>
    </row>
    <row r="37" spans="1:13" ht="36">
      <c r="A37" s="100" t="s">
        <v>166</v>
      </c>
      <c r="B37" s="142" t="s">
        <v>165</v>
      </c>
      <c r="C37" s="142" t="s">
        <v>165</v>
      </c>
      <c r="D37" s="142" t="s">
        <v>165</v>
      </c>
      <c r="E37" s="148" t="s">
        <v>165</v>
      </c>
      <c r="F37" s="194" t="s">
        <v>165</v>
      </c>
      <c r="G37" s="194" t="s">
        <v>165</v>
      </c>
      <c r="H37" s="97"/>
      <c r="I37" s="97"/>
      <c r="J37" s="97"/>
      <c r="K37" s="97"/>
      <c r="L37" s="97"/>
      <c r="M37" s="97"/>
    </row>
    <row r="38" spans="1:13" ht="24">
      <c r="A38" s="100" t="s">
        <v>167</v>
      </c>
      <c r="B38" s="142" t="s">
        <v>168</v>
      </c>
      <c r="C38" s="142" t="s">
        <v>47</v>
      </c>
      <c r="D38" s="142" t="s">
        <v>47</v>
      </c>
      <c r="E38" s="148" t="s">
        <v>47</v>
      </c>
      <c r="F38" s="194" t="s">
        <v>47</v>
      </c>
      <c r="G38" s="194" t="s">
        <v>47</v>
      </c>
      <c r="H38" s="97"/>
      <c r="I38" s="97"/>
      <c r="J38" s="97"/>
      <c r="K38" s="97"/>
      <c r="L38" s="97"/>
      <c r="M38" s="97"/>
    </row>
    <row r="39" spans="1:13" ht="24">
      <c r="A39" s="100" t="s">
        <v>169</v>
      </c>
      <c r="B39" s="142" t="s">
        <v>165</v>
      </c>
      <c r="C39" s="142" t="s">
        <v>165</v>
      </c>
      <c r="D39" s="142" t="s">
        <v>165</v>
      </c>
      <c r="E39" s="148" t="s">
        <v>165</v>
      </c>
      <c r="F39" s="194" t="s">
        <v>165</v>
      </c>
      <c r="G39" s="194" t="s">
        <v>165</v>
      </c>
      <c r="H39" s="97"/>
      <c r="I39" s="97"/>
      <c r="J39" s="97"/>
      <c r="K39" s="97"/>
      <c r="L39" s="97"/>
      <c r="M39" s="97"/>
    </row>
    <row r="40" spans="1:13" ht="24">
      <c r="A40" s="100" t="s">
        <v>170</v>
      </c>
      <c r="B40" s="142" t="s">
        <v>165</v>
      </c>
      <c r="C40" s="142" t="s">
        <v>165</v>
      </c>
      <c r="D40" s="142" t="s">
        <v>165</v>
      </c>
      <c r="E40" s="148" t="s">
        <v>165</v>
      </c>
      <c r="F40" s="194" t="s">
        <v>165</v>
      </c>
      <c r="G40" s="194" t="s">
        <v>165</v>
      </c>
      <c r="H40" s="97"/>
      <c r="I40" s="97"/>
      <c r="J40" s="97"/>
      <c r="K40" s="97"/>
      <c r="L40" s="97"/>
      <c r="M40" s="97"/>
    </row>
    <row r="41" spans="1:13">
      <c r="A41" s="129" t="s">
        <v>171</v>
      </c>
      <c r="B41" s="145"/>
      <c r="D41" s="146"/>
    </row>
  </sheetData>
  <mergeCells count="9">
    <mergeCell ref="A33:A34"/>
    <mergeCell ref="B33:B34"/>
    <mergeCell ref="C33:C34"/>
    <mergeCell ref="D33:D34"/>
    <mergeCell ref="F2:G2"/>
    <mergeCell ref="F33:F34"/>
    <mergeCell ref="G33:G34"/>
    <mergeCell ref="E33:E34"/>
    <mergeCell ref="C2:D2"/>
  </mergeCells>
  <phoneticPr fontId="1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pane xSplit="2" ySplit="3" topLeftCell="L4" activePane="bottomRight" state="frozen"/>
      <selection pane="topRight"/>
      <selection pane="bottomLeft"/>
      <selection pane="bottomRight" activeCell="F1" sqref="F1:G1048576"/>
    </sheetView>
  </sheetViews>
  <sheetFormatPr defaultColWidth="9.28515625" defaultRowHeight="14.25"/>
  <cols>
    <col min="1" max="1" width="29.28515625" style="84" customWidth="1"/>
    <col min="2" max="2" width="44.42578125" style="84" customWidth="1"/>
    <col min="3" max="3" width="31.42578125" style="130" customWidth="1"/>
    <col min="4" max="4" width="29.7109375" style="85" customWidth="1"/>
    <col min="5" max="5" width="31.42578125" style="85" customWidth="1"/>
    <col min="6" max="6" width="31.42578125" style="130" customWidth="1"/>
    <col min="7" max="7" width="29.7109375" style="85" customWidth="1"/>
    <col min="8" max="11" width="31.42578125" style="85" customWidth="1"/>
    <col min="12" max="12" width="31.5703125" style="85" customWidth="1"/>
    <col min="13" max="16384" width="9.28515625" style="84"/>
  </cols>
  <sheetData>
    <row r="1" spans="1:12">
      <c r="A1" s="131" t="s">
        <v>37</v>
      </c>
      <c r="B1" s="85"/>
      <c r="J1" s="123"/>
      <c r="K1" s="123"/>
    </row>
    <row r="2" spans="1:12" ht="24">
      <c r="A2" s="131" t="s">
        <v>38</v>
      </c>
      <c r="B2" s="89" t="s">
        <v>39</v>
      </c>
      <c r="C2" s="218" t="s">
        <v>5</v>
      </c>
      <c r="D2" s="219"/>
      <c r="E2" s="220"/>
      <c r="F2" s="218" t="s">
        <v>14</v>
      </c>
      <c r="G2" s="219"/>
      <c r="H2" s="213" t="s">
        <v>16</v>
      </c>
      <c r="I2" s="214"/>
      <c r="J2" s="223" t="s">
        <v>20</v>
      </c>
      <c r="K2" s="224"/>
      <c r="L2" s="91" t="s">
        <v>23</v>
      </c>
    </row>
    <row r="3" spans="1:12">
      <c r="A3" s="131"/>
      <c r="B3" s="89"/>
      <c r="C3" s="132" t="s">
        <v>41</v>
      </c>
      <c r="D3" s="133" t="s">
        <v>42</v>
      </c>
      <c r="E3" s="132" t="s">
        <v>43</v>
      </c>
      <c r="F3" s="132" t="s">
        <v>41</v>
      </c>
      <c r="G3" s="133" t="s">
        <v>42</v>
      </c>
      <c r="H3" s="132" t="s">
        <v>41</v>
      </c>
      <c r="I3" s="133" t="s">
        <v>42</v>
      </c>
      <c r="J3" s="112" t="s">
        <v>42</v>
      </c>
      <c r="K3" s="112" t="s">
        <v>41</v>
      </c>
      <c r="L3" s="165" t="s">
        <v>42</v>
      </c>
    </row>
    <row r="4" spans="1:12">
      <c r="A4" s="97" t="s">
        <v>45</v>
      </c>
      <c r="B4" s="134" t="s">
        <v>46</v>
      </c>
      <c r="C4" s="135" t="s">
        <v>47</v>
      </c>
      <c r="D4" s="135" t="s">
        <v>47</v>
      </c>
      <c r="E4" s="135" t="s">
        <v>47</v>
      </c>
      <c r="F4" s="135" t="s">
        <v>47</v>
      </c>
      <c r="G4" s="135" t="s">
        <v>47</v>
      </c>
      <c r="H4" s="135" t="s">
        <v>47</v>
      </c>
      <c r="I4" s="135" t="s">
        <v>47</v>
      </c>
      <c r="J4" s="124" t="s">
        <v>47</v>
      </c>
      <c r="K4" s="124" t="s">
        <v>47</v>
      </c>
      <c r="L4" s="135" t="s">
        <v>47</v>
      </c>
    </row>
    <row r="5" spans="1:12">
      <c r="A5" s="97" t="s">
        <v>48</v>
      </c>
      <c r="B5" s="134"/>
      <c r="C5" s="135" t="s">
        <v>49</v>
      </c>
      <c r="D5" s="155" t="s">
        <v>50</v>
      </c>
      <c r="E5" s="135" t="s">
        <v>49</v>
      </c>
      <c r="F5" s="135" t="s">
        <v>49</v>
      </c>
      <c r="G5" s="155" t="s">
        <v>50</v>
      </c>
      <c r="H5" s="135" t="s">
        <v>49</v>
      </c>
      <c r="I5" s="155" t="s">
        <v>50</v>
      </c>
      <c r="J5" s="126" t="s">
        <v>50</v>
      </c>
      <c r="K5" s="124" t="s">
        <v>49</v>
      </c>
      <c r="L5" s="155" t="s">
        <v>50</v>
      </c>
    </row>
    <row r="6" spans="1:12">
      <c r="A6" s="119" t="s">
        <v>51</v>
      </c>
      <c r="B6" s="134"/>
      <c r="C6" s="135" t="s">
        <v>47</v>
      </c>
      <c r="D6" s="135" t="s">
        <v>47</v>
      </c>
      <c r="E6" s="135" t="s">
        <v>47</v>
      </c>
      <c r="F6" s="135" t="s">
        <v>47</v>
      </c>
      <c r="G6" s="135" t="s">
        <v>47</v>
      </c>
      <c r="H6" s="135" t="s">
        <v>47</v>
      </c>
      <c r="I6" s="135" t="s">
        <v>47</v>
      </c>
      <c r="J6" s="124" t="s">
        <v>47</v>
      </c>
      <c r="K6" s="124" t="s">
        <v>47</v>
      </c>
      <c r="L6" s="135" t="s">
        <v>47</v>
      </c>
    </row>
    <row r="7" spans="1:12">
      <c r="A7" s="119" t="s">
        <v>52</v>
      </c>
      <c r="B7" s="134" t="s">
        <v>53</v>
      </c>
      <c r="C7" s="135" t="s">
        <v>47</v>
      </c>
      <c r="D7" s="135" t="s">
        <v>47</v>
      </c>
      <c r="E7" s="135" t="s">
        <v>47</v>
      </c>
      <c r="F7" s="135" t="s">
        <v>47</v>
      </c>
      <c r="G7" s="135" t="s">
        <v>47</v>
      </c>
      <c r="H7" s="135" t="s">
        <v>47</v>
      </c>
      <c r="I7" s="135" t="s">
        <v>47</v>
      </c>
      <c r="J7" s="124" t="s">
        <v>47</v>
      </c>
      <c r="K7" s="124" t="s">
        <v>47</v>
      </c>
      <c r="L7" s="135" t="s">
        <v>47</v>
      </c>
    </row>
    <row r="8" spans="1:12" ht="36">
      <c r="A8" s="97" t="s">
        <v>54</v>
      </c>
      <c r="B8" s="95" t="s">
        <v>55</v>
      </c>
      <c r="C8" s="135" t="s">
        <v>47</v>
      </c>
      <c r="D8" s="135" t="s">
        <v>47</v>
      </c>
      <c r="E8" s="97" t="s">
        <v>56</v>
      </c>
      <c r="F8" s="135" t="s">
        <v>47</v>
      </c>
      <c r="G8" s="135" t="s">
        <v>47</v>
      </c>
      <c r="H8" s="135" t="s">
        <v>47</v>
      </c>
      <c r="I8" s="135" t="s">
        <v>47</v>
      </c>
      <c r="J8" s="124" t="s">
        <v>47</v>
      </c>
      <c r="K8" s="124" t="s">
        <v>47</v>
      </c>
      <c r="L8" s="135" t="s">
        <v>47</v>
      </c>
    </row>
    <row r="9" spans="1:12" ht="24">
      <c r="A9" s="119" t="s">
        <v>57</v>
      </c>
      <c r="B9" s="95" t="s">
        <v>58</v>
      </c>
      <c r="C9" s="135" t="s">
        <v>59</v>
      </c>
      <c r="D9" s="135" t="s">
        <v>60</v>
      </c>
      <c r="E9" s="135" t="s">
        <v>59</v>
      </c>
      <c r="F9" s="135" t="s">
        <v>59</v>
      </c>
      <c r="G9" s="135" t="s">
        <v>62</v>
      </c>
      <c r="H9" s="135" t="s">
        <v>59</v>
      </c>
      <c r="I9" s="135" t="s">
        <v>59</v>
      </c>
      <c r="J9" s="124" t="s">
        <v>62</v>
      </c>
      <c r="K9" s="124" t="s">
        <v>59</v>
      </c>
      <c r="L9" s="135" t="s">
        <v>62</v>
      </c>
    </row>
    <row r="10" spans="1:12" ht="60">
      <c r="A10" s="96" t="s">
        <v>63</v>
      </c>
      <c r="B10" s="137" t="s">
        <v>64</v>
      </c>
      <c r="C10" s="135" t="s">
        <v>47</v>
      </c>
      <c r="D10" s="135" t="s">
        <v>47</v>
      </c>
      <c r="E10" s="138">
        <v>0.1</v>
      </c>
      <c r="F10" s="135" t="s">
        <v>47</v>
      </c>
      <c r="G10" s="135" t="s">
        <v>47</v>
      </c>
      <c r="H10" s="135" t="s">
        <v>47</v>
      </c>
      <c r="I10" s="135" t="s">
        <v>47</v>
      </c>
      <c r="J10" s="124" t="s">
        <v>47</v>
      </c>
      <c r="K10" s="124" t="s">
        <v>47</v>
      </c>
      <c r="L10" s="135" t="s">
        <v>47</v>
      </c>
    </row>
    <row r="11" spans="1:12" ht="24">
      <c r="A11" s="119" t="s">
        <v>65</v>
      </c>
      <c r="B11" s="135" t="s">
        <v>66</v>
      </c>
      <c r="C11" s="135" t="s">
        <v>217</v>
      </c>
      <c r="D11" s="135" t="s">
        <v>218</v>
      </c>
      <c r="E11" s="135" t="s">
        <v>217</v>
      </c>
      <c r="F11" s="135" t="s">
        <v>217</v>
      </c>
      <c r="G11" s="135" t="s">
        <v>218</v>
      </c>
      <c r="H11" s="135" t="s">
        <v>217</v>
      </c>
      <c r="I11" s="135" t="s">
        <v>218</v>
      </c>
      <c r="J11" s="126" t="s">
        <v>219</v>
      </c>
      <c r="K11" s="124" t="s">
        <v>217</v>
      </c>
      <c r="L11" s="135" t="s">
        <v>218</v>
      </c>
    </row>
    <row r="12" spans="1:12" ht="24">
      <c r="A12" s="119" t="s">
        <v>67</v>
      </c>
      <c r="B12" s="134"/>
      <c r="C12" s="135" t="s">
        <v>68</v>
      </c>
      <c r="D12" s="155" t="s">
        <v>69</v>
      </c>
      <c r="E12" s="135" t="s">
        <v>68</v>
      </c>
      <c r="F12" s="135" t="s">
        <v>68</v>
      </c>
      <c r="G12" s="155" t="s">
        <v>69</v>
      </c>
      <c r="H12" s="135" t="s">
        <v>68</v>
      </c>
      <c r="I12" s="155" t="s">
        <v>70</v>
      </c>
      <c r="J12" s="124" t="s">
        <v>221</v>
      </c>
      <c r="K12" s="124" t="s">
        <v>222</v>
      </c>
      <c r="L12" s="155" t="s">
        <v>69</v>
      </c>
    </row>
    <row r="13" spans="1:12">
      <c r="A13" s="119" t="s">
        <v>73</v>
      </c>
      <c r="B13" s="159" t="s">
        <v>75</v>
      </c>
      <c r="C13" s="159" t="s">
        <v>75</v>
      </c>
      <c r="D13" s="159" t="s">
        <v>75</v>
      </c>
      <c r="E13" s="159" t="s">
        <v>75</v>
      </c>
      <c r="F13" s="159" t="s">
        <v>75</v>
      </c>
      <c r="G13" s="159" t="s">
        <v>75</v>
      </c>
      <c r="H13" s="159" t="s">
        <v>75</v>
      </c>
      <c r="I13" s="159" t="s">
        <v>75</v>
      </c>
      <c r="J13" s="166" t="s">
        <v>75</v>
      </c>
      <c r="K13" s="166" t="s">
        <v>75</v>
      </c>
      <c r="L13" s="159" t="s">
        <v>75</v>
      </c>
    </row>
    <row r="14" spans="1:12">
      <c r="A14" s="119" t="s">
        <v>76</v>
      </c>
      <c r="B14" s="134"/>
      <c r="C14" s="153" t="s">
        <v>77</v>
      </c>
      <c r="D14" s="153" t="s">
        <v>77</v>
      </c>
      <c r="E14" s="153" t="s">
        <v>77</v>
      </c>
      <c r="F14" s="153" t="s">
        <v>77</v>
      </c>
      <c r="G14" s="135" t="s">
        <v>79</v>
      </c>
      <c r="H14" s="153" t="s">
        <v>77</v>
      </c>
      <c r="I14" s="135" t="s">
        <v>79</v>
      </c>
      <c r="J14" s="167" t="s">
        <v>80</v>
      </c>
      <c r="K14" s="166" t="s">
        <v>77</v>
      </c>
      <c r="L14" s="135" t="s">
        <v>79</v>
      </c>
    </row>
    <row r="15" spans="1:12" ht="48">
      <c r="A15" s="119" t="s">
        <v>81</v>
      </c>
      <c r="B15" s="134"/>
      <c r="C15" s="139" t="s">
        <v>82</v>
      </c>
      <c r="D15" s="139" t="s">
        <v>82</v>
      </c>
      <c r="E15" s="135" t="s">
        <v>83</v>
      </c>
      <c r="F15" s="139" t="s">
        <v>82</v>
      </c>
      <c r="G15" s="155" t="s">
        <v>89</v>
      </c>
      <c r="H15" s="139" t="s">
        <v>82</v>
      </c>
      <c r="I15" s="155" t="s">
        <v>89</v>
      </c>
      <c r="J15" s="128" t="s">
        <v>89</v>
      </c>
      <c r="K15" s="128" t="s">
        <v>225</v>
      </c>
      <c r="L15" s="155" t="s">
        <v>89</v>
      </c>
    </row>
    <row r="16" spans="1:12">
      <c r="A16" s="119" t="s">
        <v>91</v>
      </c>
      <c r="B16" s="134"/>
      <c r="C16" s="139" t="s">
        <v>92</v>
      </c>
      <c r="D16" s="139" t="s">
        <v>92</v>
      </c>
      <c r="E16" s="97" t="s">
        <v>93</v>
      </c>
      <c r="F16" s="139" t="s">
        <v>92</v>
      </c>
      <c r="G16" s="139" t="s">
        <v>92</v>
      </c>
      <c r="H16" s="139" t="s">
        <v>92</v>
      </c>
      <c r="I16" s="139" t="s">
        <v>92</v>
      </c>
      <c r="J16" s="166" t="s">
        <v>92</v>
      </c>
      <c r="K16" s="166" t="s">
        <v>92</v>
      </c>
      <c r="L16" s="139" t="s">
        <v>92</v>
      </c>
    </row>
    <row r="17" spans="1:12" ht="25.5">
      <c r="A17" s="97" t="s">
        <v>95</v>
      </c>
      <c r="B17" s="134"/>
      <c r="C17" s="160" t="s">
        <v>250</v>
      </c>
      <c r="D17" s="160" t="s">
        <v>250</v>
      </c>
      <c r="E17" s="161" t="s">
        <v>251</v>
      </c>
      <c r="F17" s="160" t="s">
        <v>99</v>
      </c>
      <c r="G17" s="160" t="s">
        <v>99</v>
      </c>
      <c r="H17" s="160" t="s">
        <v>99</v>
      </c>
      <c r="I17" s="160" t="s">
        <v>99</v>
      </c>
      <c r="J17" s="166" t="s">
        <v>98</v>
      </c>
      <c r="K17" s="166" t="s">
        <v>98</v>
      </c>
      <c r="L17" s="160" t="s">
        <v>99</v>
      </c>
    </row>
    <row r="18" spans="1:12">
      <c r="A18" s="97" t="s">
        <v>100</v>
      </c>
      <c r="B18" s="134"/>
      <c r="C18" s="139" t="s">
        <v>103</v>
      </c>
      <c r="D18" s="139" t="s">
        <v>103</v>
      </c>
      <c r="E18" s="139" t="s">
        <v>252</v>
      </c>
      <c r="F18" s="139" t="s">
        <v>103</v>
      </c>
      <c r="G18" s="139" t="s">
        <v>103</v>
      </c>
      <c r="H18" s="139" t="s">
        <v>103</v>
      </c>
      <c r="I18" s="139" t="s">
        <v>103</v>
      </c>
      <c r="J18" s="166" t="s">
        <v>103</v>
      </c>
      <c r="K18" s="166" t="s">
        <v>103</v>
      </c>
      <c r="L18" s="139" t="s">
        <v>103</v>
      </c>
    </row>
    <row r="19" spans="1:12" ht="24">
      <c r="A19" s="97" t="s">
        <v>104</v>
      </c>
      <c r="B19" s="95" t="s">
        <v>105</v>
      </c>
      <c r="C19" s="135" t="s">
        <v>47</v>
      </c>
      <c r="D19" s="135" t="s">
        <v>47</v>
      </c>
      <c r="E19" s="135" t="s">
        <v>106</v>
      </c>
      <c r="F19" s="135" t="s">
        <v>47</v>
      </c>
      <c r="G19" s="135" t="s">
        <v>47</v>
      </c>
      <c r="H19" s="135" t="s">
        <v>47</v>
      </c>
      <c r="I19" s="135" t="s">
        <v>47</v>
      </c>
      <c r="J19" s="124" t="s">
        <v>47</v>
      </c>
      <c r="K19" s="124" t="s">
        <v>47</v>
      </c>
      <c r="L19" s="135" t="s">
        <v>47</v>
      </c>
    </row>
    <row r="20" spans="1:12" ht="84">
      <c r="A20" s="97" t="s">
        <v>107</v>
      </c>
      <c r="B20" s="95" t="s">
        <v>108</v>
      </c>
      <c r="C20" s="153" t="s">
        <v>89</v>
      </c>
      <c r="D20" s="135" t="s">
        <v>253</v>
      </c>
      <c r="E20" s="153" t="s">
        <v>89</v>
      </c>
      <c r="F20" s="153" t="s">
        <v>89</v>
      </c>
      <c r="G20" s="135" t="s">
        <v>228</v>
      </c>
      <c r="H20" s="153" t="s">
        <v>89</v>
      </c>
      <c r="I20" s="135" t="s">
        <v>254</v>
      </c>
      <c r="J20" s="166" t="s">
        <v>113</v>
      </c>
      <c r="K20" s="166" t="s">
        <v>89</v>
      </c>
      <c r="L20" s="135" t="s">
        <v>228</v>
      </c>
    </row>
    <row r="21" spans="1:12" ht="38.25">
      <c r="A21" s="97" t="s">
        <v>114</v>
      </c>
      <c r="B21" s="134"/>
      <c r="C21" s="153" t="s">
        <v>115</v>
      </c>
      <c r="D21" s="135" t="s">
        <v>116</v>
      </c>
      <c r="E21" s="153" t="s">
        <v>115</v>
      </c>
      <c r="F21" s="153" t="s">
        <v>115</v>
      </c>
      <c r="G21" s="135" t="s">
        <v>116</v>
      </c>
      <c r="H21" s="153" t="s">
        <v>115</v>
      </c>
      <c r="I21" s="135" t="s">
        <v>116</v>
      </c>
      <c r="J21" s="166" t="s">
        <v>115</v>
      </c>
      <c r="K21" s="166" t="s">
        <v>115</v>
      </c>
      <c r="L21" s="135" t="s">
        <v>116</v>
      </c>
    </row>
    <row r="22" spans="1:12" ht="24">
      <c r="A22" s="97" t="s">
        <v>121</v>
      </c>
      <c r="B22" s="134"/>
      <c r="C22" s="139" t="s">
        <v>122</v>
      </c>
      <c r="D22" s="139" t="s">
        <v>122</v>
      </c>
      <c r="E22" s="139" t="s">
        <v>122</v>
      </c>
      <c r="F22" s="139" t="s">
        <v>122</v>
      </c>
      <c r="G22" s="139" t="s">
        <v>122</v>
      </c>
      <c r="H22" s="139" t="s">
        <v>122</v>
      </c>
      <c r="I22" s="139" t="s">
        <v>122</v>
      </c>
      <c r="J22" s="166" t="s">
        <v>122</v>
      </c>
      <c r="K22" s="166" t="s">
        <v>122</v>
      </c>
      <c r="L22" s="139" t="s">
        <v>122</v>
      </c>
    </row>
    <row r="23" spans="1:12">
      <c r="A23" s="97" t="s">
        <v>124</v>
      </c>
      <c r="B23" s="155">
        <v>1</v>
      </c>
      <c r="C23" s="135" t="s">
        <v>47</v>
      </c>
      <c r="D23" s="135" t="s">
        <v>47</v>
      </c>
      <c r="E23" s="135" t="s">
        <v>47</v>
      </c>
      <c r="F23" s="135" t="s">
        <v>47</v>
      </c>
      <c r="G23" s="135" t="s">
        <v>47</v>
      </c>
      <c r="H23" s="135" t="s">
        <v>47</v>
      </c>
      <c r="I23" s="135" t="s">
        <v>47</v>
      </c>
      <c r="J23" s="124" t="s">
        <v>47</v>
      </c>
      <c r="K23" s="124" t="s">
        <v>47</v>
      </c>
      <c r="L23" s="135" t="s">
        <v>47</v>
      </c>
    </row>
    <row r="24" spans="1:12">
      <c r="A24" s="97" t="s">
        <v>125</v>
      </c>
      <c r="B24" s="134"/>
      <c r="C24" s="139" t="s">
        <v>126</v>
      </c>
      <c r="D24" s="139" t="s">
        <v>126</v>
      </c>
      <c r="E24" s="97" t="s">
        <v>127</v>
      </c>
      <c r="F24" s="139" t="s">
        <v>126</v>
      </c>
      <c r="G24" s="139" t="s">
        <v>126</v>
      </c>
      <c r="H24" s="139" t="s">
        <v>126</v>
      </c>
      <c r="I24" s="139" t="s">
        <v>126</v>
      </c>
      <c r="J24" s="166" t="s">
        <v>126</v>
      </c>
      <c r="K24" s="166" t="s">
        <v>126</v>
      </c>
      <c r="L24" s="139" t="s">
        <v>126</v>
      </c>
    </row>
    <row r="25" spans="1:12" ht="24">
      <c r="A25" s="97" t="s">
        <v>129</v>
      </c>
      <c r="B25" s="134"/>
      <c r="C25" s="135" t="s">
        <v>232</v>
      </c>
      <c r="D25" s="135" t="s">
        <v>232</v>
      </c>
      <c r="E25" s="97" t="s">
        <v>131</v>
      </c>
      <c r="F25" s="135" t="s">
        <v>232</v>
      </c>
      <c r="G25" s="135" t="s">
        <v>232</v>
      </c>
      <c r="H25" s="135" t="s">
        <v>232</v>
      </c>
      <c r="I25" s="135" t="s">
        <v>232</v>
      </c>
      <c r="J25" s="124" t="s">
        <v>165</v>
      </c>
      <c r="K25" s="124" t="s">
        <v>165</v>
      </c>
      <c r="L25" s="135" t="s">
        <v>232</v>
      </c>
    </row>
    <row r="26" spans="1:12" ht="60" customHeight="1">
      <c r="A26" s="100" t="s">
        <v>132</v>
      </c>
      <c r="B26" s="100" t="s">
        <v>133</v>
      </c>
      <c r="C26" s="140" t="s">
        <v>134</v>
      </c>
      <c r="D26" s="140" t="s">
        <v>134</v>
      </c>
      <c r="E26" s="140" t="s">
        <v>137</v>
      </c>
      <c r="F26" s="140" t="s">
        <v>137</v>
      </c>
      <c r="G26" s="140" t="s">
        <v>137</v>
      </c>
      <c r="H26" s="140" t="s">
        <v>137</v>
      </c>
      <c r="I26" s="140" t="s">
        <v>137</v>
      </c>
      <c r="J26" s="124" t="s">
        <v>238</v>
      </c>
      <c r="K26" s="124" t="s">
        <v>255</v>
      </c>
      <c r="L26" s="140" t="s">
        <v>137</v>
      </c>
    </row>
    <row r="27" spans="1:12" ht="71.25" customHeight="1">
      <c r="A27" s="100" t="s">
        <v>140</v>
      </c>
      <c r="B27" s="100" t="s">
        <v>141</v>
      </c>
      <c r="C27" s="162" t="s">
        <v>256</v>
      </c>
      <c r="D27" s="162" t="s">
        <v>256</v>
      </c>
      <c r="E27" s="162" t="s">
        <v>256</v>
      </c>
      <c r="F27" s="162" t="s">
        <v>256</v>
      </c>
      <c r="G27" s="162" t="s">
        <v>256</v>
      </c>
      <c r="H27" s="162" t="s">
        <v>256</v>
      </c>
      <c r="I27" s="162" t="s">
        <v>256</v>
      </c>
      <c r="J27" s="168" t="s">
        <v>242</v>
      </c>
      <c r="K27" s="168" t="s">
        <v>242</v>
      </c>
      <c r="L27" s="162" t="s">
        <v>256</v>
      </c>
    </row>
    <row r="28" spans="1:12">
      <c r="A28" s="97" t="s">
        <v>145</v>
      </c>
      <c r="B28" s="134" t="s">
        <v>146</v>
      </c>
      <c r="C28" s="135" t="s">
        <v>47</v>
      </c>
      <c r="D28" s="135" t="s">
        <v>47</v>
      </c>
      <c r="E28" s="135" t="s">
        <v>47</v>
      </c>
      <c r="F28" s="135" t="s">
        <v>47</v>
      </c>
      <c r="G28" s="135" t="s">
        <v>47</v>
      </c>
      <c r="H28" s="135" t="s">
        <v>47</v>
      </c>
      <c r="I28" s="135" t="s">
        <v>47</v>
      </c>
      <c r="J28" s="124" t="s">
        <v>47</v>
      </c>
      <c r="K28" s="124" t="s">
        <v>47</v>
      </c>
      <c r="L28" s="135" t="s">
        <v>47</v>
      </c>
    </row>
    <row r="29" spans="1:12">
      <c r="A29" s="97" t="s">
        <v>147</v>
      </c>
      <c r="B29" s="134" t="s">
        <v>148</v>
      </c>
      <c r="C29" s="135" t="s">
        <v>47</v>
      </c>
      <c r="D29" s="135" t="s">
        <v>47</v>
      </c>
      <c r="E29" s="135" t="s">
        <v>47</v>
      </c>
      <c r="F29" s="135" t="s">
        <v>47</v>
      </c>
      <c r="G29" s="135" t="s">
        <v>47</v>
      </c>
      <c r="H29" s="135" t="s">
        <v>47</v>
      </c>
      <c r="I29" s="135" t="s">
        <v>47</v>
      </c>
      <c r="J29" s="168" t="s">
        <v>47</v>
      </c>
      <c r="K29" s="168" t="s">
        <v>47</v>
      </c>
      <c r="L29" s="135" t="s">
        <v>47</v>
      </c>
    </row>
    <row r="30" spans="1:12">
      <c r="A30" s="97" t="s">
        <v>149</v>
      </c>
      <c r="B30" s="134"/>
      <c r="C30" s="135" t="s">
        <v>150</v>
      </c>
      <c r="D30" s="135" t="s">
        <v>150</v>
      </c>
      <c r="E30" s="135" t="s">
        <v>150</v>
      </c>
      <c r="F30" s="135" t="s">
        <v>150</v>
      </c>
      <c r="G30" s="135" t="s">
        <v>150</v>
      </c>
      <c r="H30" s="135" t="s">
        <v>150</v>
      </c>
      <c r="I30" s="135" t="s">
        <v>150</v>
      </c>
      <c r="J30" s="124" t="s">
        <v>150</v>
      </c>
      <c r="K30" s="124" t="s">
        <v>150</v>
      </c>
      <c r="L30" s="135" t="s">
        <v>151</v>
      </c>
    </row>
    <row r="31" spans="1:12">
      <c r="C31" s="163"/>
      <c r="D31" s="97"/>
      <c r="E31" s="97"/>
      <c r="F31" s="163"/>
      <c r="G31" s="97"/>
      <c r="H31" s="163"/>
      <c r="I31" s="97"/>
      <c r="J31" s="126"/>
      <c r="K31" s="126"/>
      <c r="L31" s="97"/>
    </row>
    <row r="32" spans="1:12" ht="24.75" customHeight="1">
      <c r="A32" s="131" t="s">
        <v>152</v>
      </c>
      <c r="B32" s="89" t="s">
        <v>153</v>
      </c>
      <c r="C32" s="135"/>
      <c r="D32" s="143"/>
      <c r="E32" s="97"/>
      <c r="F32" s="135"/>
      <c r="G32" s="143"/>
      <c r="H32" s="135"/>
      <c r="I32" s="143"/>
      <c r="J32" s="126"/>
      <c r="K32" s="126"/>
      <c r="L32" s="143"/>
    </row>
    <row r="33" spans="1:12">
      <c r="A33" s="100" t="s">
        <v>154</v>
      </c>
      <c r="B33" s="104" t="s">
        <v>155</v>
      </c>
      <c r="C33" s="143" t="s">
        <v>47</v>
      </c>
      <c r="D33" s="143" t="s">
        <v>47</v>
      </c>
      <c r="E33" s="143" t="s">
        <v>47</v>
      </c>
      <c r="F33" s="143" t="s">
        <v>47</v>
      </c>
      <c r="G33" s="143" t="s">
        <v>47</v>
      </c>
      <c r="H33" s="143" t="s">
        <v>47</v>
      </c>
      <c r="I33" s="143" t="s">
        <v>47</v>
      </c>
      <c r="J33" s="169" t="s">
        <v>47</v>
      </c>
      <c r="K33" s="169" t="s">
        <v>47</v>
      </c>
      <c r="L33" s="143" t="s">
        <v>47</v>
      </c>
    </row>
    <row r="34" spans="1:12">
      <c r="A34" s="100" t="s">
        <v>156</v>
      </c>
      <c r="B34" s="104" t="s">
        <v>257</v>
      </c>
      <c r="C34" s="140" t="s">
        <v>258</v>
      </c>
      <c r="D34" s="140" t="s">
        <v>258</v>
      </c>
      <c r="E34" s="140" t="s">
        <v>258</v>
      </c>
      <c r="F34" s="140" t="s">
        <v>259</v>
      </c>
      <c r="G34" s="140" t="s">
        <v>259</v>
      </c>
      <c r="H34" s="140" t="s">
        <v>258</v>
      </c>
      <c r="I34" s="140" t="s">
        <v>258</v>
      </c>
      <c r="J34" s="104" t="s">
        <v>47</v>
      </c>
      <c r="K34" s="104" t="s">
        <v>47</v>
      </c>
      <c r="L34" s="140" t="s">
        <v>258</v>
      </c>
    </row>
    <row r="35" spans="1:12">
      <c r="A35" s="100" t="s">
        <v>159</v>
      </c>
      <c r="B35" s="108"/>
      <c r="C35" s="142">
        <v>1</v>
      </c>
      <c r="D35" s="142">
        <v>1</v>
      </c>
      <c r="E35" s="142">
        <v>1</v>
      </c>
      <c r="F35" s="142">
        <v>1</v>
      </c>
      <c r="G35" s="142">
        <v>1</v>
      </c>
      <c r="H35" s="142">
        <v>1</v>
      </c>
      <c r="I35" s="142">
        <v>1</v>
      </c>
      <c r="J35" s="104">
        <v>1</v>
      </c>
      <c r="K35" s="104">
        <v>1</v>
      </c>
      <c r="L35" s="142">
        <v>1</v>
      </c>
    </row>
    <row r="36" spans="1:12" ht="14.25" customHeight="1">
      <c r="A36" s="215" t="s">
        <v>160</v>
      </c>
      <c r="B36" s="216" t="s">
        <v>161</v>
      </c>
      <c r="C36" s="211" t="s">
        <v>47</v>
      </c>
      <c r="D36" s="211" t="s">
        <v>47</v>
      </c>
      <c r="E36" s="211" t="s">
        <v>47</v>
      </c>
      <c r="F36" s="211" t="s">
        <v>47</v>
      </c>
      <c r="G36" s="211" t="s">
        <v>47</v>
      </c>
      <c r="H36" s="211" t="s">
        <v>47</v>
      </c>
      <c r="I36" s="211" t="s">
        <v>47</v>
      </c>
      <c r="J36" s="225" t="s">
        <v>47</v>
      </c>
      <c r="K36" s="225" t="s">
        <v>47</v>
      </c>
      <c r="L36" s="211" t="s">
        <v>47</v>
      </c>
    </row>
    <row r="37" spans="1:12">
      <c r="A37" s="215"/>
      <c r="B37" s="217"/>
      <c r="C37" s="211"/>
      <c r="D37" s="211"/>
      <c r="E37" s="211"/>
      <c r="F37" s="211"/>
      <c r="G37" s="211"/>
      <c r="H37" s="211"/>
      <c r="I37" s="211"/>
      <c r="J37" s="226"/>
      <c r="K37" s="226"/>
      <c r="L37" s="211"/>
    </row>
    <row r="38" spans="1:12">
      <c r="A38" s="100" t="s">
        <v>162</v>
      </c>
      <c r="B38" s="143" t="s">
        <v>163</v>
      </c>
      <c r="C38" s="142" t="s">
        <v>47</v>
      </c>
      <c r="D38" s="142" t="s">
        <v>47</v>
      </c>
      <c r="E38" s="142" t="s">
        <v>47</v>
      </c>
      <c r="F38" s="142" t="s">
        <v>47</v>
      </c>
      <c r="G38" s="142" t="s">
        <v>47</v>
      </c>
      <c r="H38" s="142" t="s">
        <v>47</v>
      </c>
      <c r="I38" s="142" t="s">
        <v>47</v>
      </c>
      <c r="J38" s="104" t="s">
        <v>47</v>
      </c>
      <c r="K38" s="104" t="s">
        <v>47</v>
      </c>
      <c r="L38" s="142" t="s">
        <v>47</v>
      </c>
    </row>
    <row r="39" spans="1:12" ht="36">
      <c r="A39" s="100" t="s">
        <v>164</v>
      </c>
      <c r="B39" s="142" t="s">
        <v>165</v>
      </c>
      <c r="C39" s="142" t="s">
        <v>165</v>
      </c>
      <c r="D39" s="142" t="s">
        <v>165</v>
      </c>
      <c r="E39" s="142" t="s">
        <v>165</v>
      </c>
      <c r="F39" s="142" t="s">
        <v>165</v>
      </c>
      <c r="G39" s="142" t="s">
        <v>165</v>
      </c>
      <c r="H39" s="142" t="s">
        <v>165</v>
      </c>
      <c r="I39" s="142" t="s">
        <v>165</v>
      </c>
      <c r="J39" s="104" t="s">
        <v>165</v>
      </c>
      <c r="K39" s="104" t="s">
        <v>165</v>
      </c>
      <c r="L39" s="142" t="s">
        <v>165</v>
      </c>
    </row>
    <row r="40" spans="1:12" ht="36">
      <c r="A40" s="100" t="s">
        <v>166</v>
      </c>
      <c r="B40" s="142" t="s">
        <v>165</v>
      </c>
      <c r="C40" s="142" t="s">
        <v>165</v>
      </c>
      <c r="D40" s="142" t="s">
        <v>165</v>
      </c>
      <c r="E40" s="142" t="s">
        <v>165</v>
      </c>
      <c r="F40" s="142" t="s">
        <v>165</v>
      </c>
      <c r="G40" s="142" t="s">
        <v>165</v>
      </c>
      <c r="H40" s="142" t="s">
        <v>165</v>
      </c>
      <c r="I40" s="142" t="s">
        <v>165</v>
      </c>
      <c r="J40" s="104" t="s">
        <v>165</v>
      </c>
      <c r="K40" s="104" t="s">
        <v>165</v>
      </c>
      <c r="L40" s="142" t="s">
        <v>165</v>
      </c>
    </row>
    <row r="41" spans="1:12" ht="24">
      <c r="A41" s="100" t="s">
        <v>167</v>
      </c>
      <c r="B41" s="142" t="s">
        <v>168</v>
      </c>
      <c r="C41" s="142" t="s">
        <v>47</v>
      </c>
      <c r="D41" s="142" t="s">
        <v>47</v>
      </c>
      <c r="E41" s="142" t="s">
        <v>47</v>
      </c>
      <c r="F41" s="142" t="s">
        <v>47</v>
      </c>
      <c r="G41" s="142" t="s">
        <v>47</v>
      </c>
      <c r="H41" s="142" t="s">
        <v>47</v>
      </c>
      <c r="I41" s="142" t="s">
        <v>47</v>
      </c>
      <c r="J41" s="104" t="s">
        <v>47</v>
      </c>
      <c r="K41" s="104" t="s">
        <v>47</v>
      </c>
      <c r="L41" s="142" t="s">
        <v>47</v>
      </c>
    </row>
    <row r="42" spans="1:12" ht="24">
      <c r="A42" s="100" t="s">
        <v>169</v>
      </c>
      <c r="B42" s="142" t="s">
        <v>165</v>
      </c>
      <c r="C42" s="142" t="s">
        <v>165</v>
      </c>
      <c r="D42" s="142" t="s">
        <v>165</v>
      </c>
      <c r="E42" s="142" t="s">
        <v>165</v>
      </c>
      <c r="F42" s="142" t="s">
        <v>165</v>
      </c>
      <c r="G42" s="142" t="s">
        <v>165</v>
      </c>
      <c r="H42" s="142" t="s">
        <v>165</v>
      </c>
      <c r="I42" s="142" t="s">
        <v>165</v>
      </c>
      <c r="J42" s="104" t="s">
        <v>165</v>
      </c>
      <c r="K42" s="104" t="s">
        <v>165</v>
      </c>
      <c r="L42" s="142" t="s">
        <v>165</v>
      </c>
    </row>
    <row r="43" spans="1:12" ht="24">
      <c r="A43" s="100" t="s">
        <v>170</v>
      </c>
      <c r="B43" s="142" t="s">
        <v>165</v>
      </c>
      <c r="C43" s="142" t="s">
        <v>165</v>
      </c>
      <c r="D43" s="142" t="s">
        <v>165</v>
      </c>
      <c r="E43" s="142" t="s">
        <v>165</v>
      </c>
      <c r="F43" s="142" t="s">
        <v>165</v>
      </c>
      <c r="G43" s="142" t="s">
        <v>165</v>
      </c>
      <c r="H43" s="142" t="s">
        <v>165</v>
      </c>
      <c r="I43" s="142" t="s">
        <v>165</v>
      </c>
      <c r="J43" s="104" t="s">
        <v>165</v>
      </c>
      <c r="K43" s="104" t="s">
        <v>165</v>
      </c>
      <c r="L43" s="142" t="s">
        <v>165</v>
      </c>
    </row>
    <row r="44" spans="1:12">
      <c r="A44" s="129" t="s">
        <v>171</v>
      </c>
      <c r="B44" s="145"/>
      <c r="D44" s="146"/>
      <c r="G44" s="146"/>
    </row>
  </sheetData>
  <mergeCells count="16">
    <mergeCell ref="J2:K2"/>
    <mergeCell ref="A36:A37"/>
    <mergeCell ref="B36:B37"/>
    <mergeCell ref="C36:C37"/>
    <mergeCell ref="D36:D37"/>
    <mergeCell ref="E36:E37"/>
    <mergeCell ref="C2:E2"/>
    <mergeCell ref="F2:G2"/>
    <mergeCell ref="H2:I2"/>
    <mergeCell ref="K36:K37"/>
    <mergeCell ref="L36:L37"/>
    <mergeCell ref="F36:F37"/>
    <mergeCell ref="G36:G37"/>
    <mergeCell ref="H36:H37"/>
    <mergeCell ref="I36:I37"/>
    <mergeCell ref="J36:J37"/>
  </mergeCells>
  <phoneticPr fontId="1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pane xSplit="2" ySplit="3" topLeftCell="G10" activePane="bottomRight" state="frozen"/>
      <selection pane="topRight"/>
      <selection pane="bottomLeft"/>
      <selection pane="bottomRight" activeCell="H18" sqref="H18"/>
    </sheetView>
  </sheetViews>
  <sheetFormatPr defaultColWidth="9.28515625" defaultRowHeight="14.25"/>
  <cols>
    <col min="1" max="1" width="29.42578125" style="84" customWidth="1"/>
    <col min="2" max="2" width="44.42578125" style="84" customWidth="1"/>
    <col min="3" max="3" width="31.42578125" style="130" customWidth="1"/>
    <col min="4" max="5" width="31.42578125" style="85" customWidth="1"/>
    <col min="6" max="6" width="31.42578125" style="123" customWidth="1"/>
    <col min="7" max="12" width="31.42578125" style="85" customWidth="1"/>
    <col min="13" max="16384" width="9.28515625" style="84"/>
  </cols>
  <sheetData>
    <row r="1" spans="1:12">
      <c r="A1" s="131" t="s">
        <v>37</v>
      </c>
      <c r="B1" s="85"/>
    </row>
    <row r="2" spans="1:12" ht="24">
      <c r="A2" s="131" t="s">
        <v>38</v>
      </c>
      <c r="B2" s="89" t="s">
        <v>39</v>
      </c>
      <c r="C2" s="218" t="s">
        <v>5</v>
      </c>
      <c r="D2" s="219"/>
      <c r="E2" s="220"/>
      <c r="F2" s="90" t="s">
        <v>20</v>
      </c>
      <c r="G2" s="218" t="s">
        <v>506</v>
      </c>
      <c r="H2" s="219"/>
      <c r="I2" s="111"/>
      <c r="J2" s="111"/>
      <c r="K2" s="111"/>
      <c r="L2" s="111"/>
    </row>
    <row r="3" spans="1:12">
      <c r="A3" s="131"/>
      <c r="B3" s="89"/>
      <c r="C3" s="132" t="s">
        <v>41</v>
      </c>
      <c r="D3" s="133" t="s">
        <v>42</v>
      </c>
      <c r="E3" s="132" t="s">
        <v>43</v>
      </c>
      <c r="F3" s="147" t="s">
        <v>42</v>
      </c>
      <c r="G3" s="132" t="s">
        <v>41</v>
      </c>
      <c r="H3" s="133" t="s">
        <v>42</v>
      </c>
      <c r="I3" s="111"/>
      <c r="J3" s="111"/>
      <c r="K3" s="111"/>
      <c r="L3" s="111"/>
    </row>
    <row r="4" spans="1:12">
      <c r="A4" s="97" t="s">
        <v>45</v>
      </c>
      <c r="B4" s="134" t="s">
        <v>46</v>
      </c>
      <c r="C4" s="135" t="s">
        <v>47</v>
      </c>
      <c r="D4" s="135" t="s">
        <v>47</v>
      </c>
      <c r="E4" s="136" t="s">
        <v>172</v>
      </c>
      <c r="F4" s="128" t="s">
        <v>47</v>
      </c>
      <c r="G4" s="135" t="s">
        <v>47</v>
      </c>
      <c r="H4" s="135" t="s">
        <v>47</v>
      </c>
      <c r="I4" s="97"/>
      <c r="J4" s="97"/>
      <c r="K4" s="97"/>
      <c r="L4" s="97"/>
    </row>
    <row r="5" spans="1:12">
      <c r="A5" s="119" t="s">
        <v>48</v>
      </c>
      <c r="B5" s="134"/>
      <c r="C5" s="135" t="s">
        <v>49</v>
      </c>
      <c r="D5" s="97" t="s">
        <v>50</v>
      </c>
      <c r="E5" s="135" t="s">
        <v>49</v>
      </c>
      <c r="F5" s="128" t="s">
        <v>50</v>
      </c>
      <c r="G5" s="135" t="s">
        <v>49</v>
      </c>
      <c r="H5" s="97" t="s">
        <v>50</v>
      </c>
      <c r="I5" s="97"/>
      <c r="J5" s="97"/>
      <c r="K5" s="97"/>
      <c r="L5" s="97"/>
    </row>
    <row r="6" spans="1:12">
      <c r="A6" s="119" t="s">
        <v>51</v>
      </c>
      <c r="B6" s="134"/>
      <c r="C6" s="135" t="s">
        <v>47</v>
      </c>
      <c r="D6" s="135" t="s">
        <v>47</v>
      </c>
      <c r="E6" s="135" t="s">
        <v>47</v>
      </c>
      <c r="F6" s="128" t="s">
        <v>47</v>
      </c>
      <c r="G6" s="135" t="s">
        <v>47</v>
      </c>
      <c r="H6" s="135" t="s">
        <v>47</v>
      </c>
      <c r="I6" s="97"/>
      <c r="J6" s="97"/>
      <c r="K6" s="97"/>
      <c r="L6" s="97"/>
    </row>
    <row r="7" spans="1:12">
      <c r="A7" s="119" t="s">
        <v>52</v>
      </c>
      <c r="B7" s="134" t="s">
        <v>173</v>
      </c>
      <c r="C7" s="135" t="s">
        <v>47</v>
      </c>
      <c r="D7" s="135" t="s">
        <v>47</v>
      </c>
      <c r="E7" s="135" t="s">
        <v>47</v>
      </c>
      <c r="F7" s="128" t="s">
        <v>47</v>
      </c>
      <c r="G7" s="135" t="s">
        <v>47</v>
      </c>
      <c r="H7" s="135" t="s">
        <v>47</v>
      </c>
      <c r="I7" s="97"/>
      <c r="J7" s="97"/>
      <c r="K7" s="97"/>
      <c r="L7" s="97"/>
    </row>
    <row r="8" spans="1:12" ht="36">
      <c r="A8" s="97" t="s">
        <v>174</v>
      </c>
      <c r="B8" s="95" t="s">
        <v>55</v>
      </c>
      <c r="C8" s="135" t="s">
        <v>47</v>
      </c>
      <c r="D8" s="135" t="s">
        <v>47</v>
      </c>
      <c r="E8" s="97" t="s">
        <v>56</v>
      </c>
      <c r="F8" s="128" t="s">
        <v>47</v>
      </c>
      <c r="G8" s="135" t="s">
        <v>47</v>
      </c>
      <c r="H8" s="135" t="s">
        <v>47</v>
      </c>
      <c r="I8" s="97"/>
      <c r="J8" s="97"/>
      <c r="K8" s="97"/>
      <c r="L8" s="84"/>
    </row>
    <row r="9" spans="1:12" ht="24">
      <c r="A9" s="119" t="s">
        <v>57</v>
      </c>
      <c r="B9" s="95" t="s">
        <v>58</v>
      </c>
      <c r="C9" s="135" t="s">
        <v>59</v>
      </c>
      <c r="D9" s="135" t="s">
        <v>60</v>
      </c>
      <c r="E9" s="135" t="s">
        <v>59</v>
      </c>
      <c r="F9" s="150" t="s">
        <v>62</v>
      </c>
      <c r="G9" s="135" t="s">
        <v>59</v>
      </c>
      <c r="H9" s="135" t="s">
        <v>503</v>
      </c>
      <c r="I9" s="97"/>
      <c r="J9" s="97"/>
      <c r="K9" s="97"/>
      <c r="L9" s="97"/>
    </row>
    <row r="10" spans="1:12" ht="60">
      <c r="A10" s="96" t="s">
        <v>63</v>
      </c>
      <c r="B10" s="137" t="s">
        <v>64</v>
      </c>
      <c r="C10" s="135" t="s">
        <v>47</v>
      </c>
      <c r="D10" s="135" t="s">
        <v>47</v>
      </c>
      <c r="E10" s="138">
        <v>0.1</v>
      </c>
      <c r="F10" s="128" t="s">
        <v>47</v>
      </c>
      <c r="G10" s="135" t="s">
        <v>47</v>
      </c>
      <c r="H10" s="135" t="s">
        <v>47</v>
      </c>
      <c r="I10" s="97"/>
      <c r="J10" s="97"/>
      <c r="K10" s="97"/>
      <c r="L10" s="97"/>
    </row>
    <row r="11" spans="1:12" ht="24">
      <c r="A11" s="119" t="s">
        <v>65</v>
      </c>
      <c r="B11" s="135" t="s">
        <v>66</v>
      </c>
      <c r="C11" s="135" t="s">
        <v>47</v>
      </c>
      <c r="D11" s="135" t="s">
        <v>47</v>
      </c>
      <c r="E11" s="135" t="s">
        <v>47</v>
      </c>
      <c r="F11" s="128" t="s">
        <v>47</v>
      </c>
      <c r="G11" s="135" t="s">
        <v>47</v>
      </c>
      <c r="H11" s="135" t="s">
        <v>47</v>
      </c>
      <c r="I11" s="97"/>
      <c r="J11" s="97"/>
      <c r="K11" s="97"/>
      <c r="L11" s="97"/>
    </row>
    <row r="12" spans="1:12" ht="24">
      <c r="A12" s="119" t="s">
        <v>67</v>
      </c>
      <c r="B12" s="134"/>
      <c r="C12" s="135" t="s">
        <v>175</v>
      </c>
      <c r="D12" s="97" t="s">
        <v>69</v>
      </c>
      <c r="E12" s="135" t="s">
        <v>175</v>
      </c>
      <c r="F12" s="150" t="s">
        <v>71</v>
      </c>
      <c r="G12" s="135" t="s">
        <v>175</v>
      </c>
      <c r="H12" s="97" t="s">
        <v>69</v>
      </c>
      <c r="I12" s="97"/>
      <c r="J12" s="97"/>
      <c r="K12" s="97"/>
      <c r="L12" s="97"/>
    </row>
    <row r="13" spans="1:12">
      <c r="A13" s="119" t="s">
        <v>73</v>
      </c>
      <c r="B13" s="134"/>
      <c r="C13" s="97" t="s">
        <v>177</v>
      </c>
      <c r="D13" s="97" t="s">
        <v>177</v>
      </c>
      <c r="E13" s="97" t="s">
        <v>177</v>
      </c>
      <c r="F13" s="128" t="s">
        <v>177</v>
      </c>
      <c r="G13" s="97" t="s">
        <v>177</v>
      </c>
      <c r="H13" s="97" t="s">
        <v>177</v>
      </c>
      <c r="I13" s="97"/>
      <c r="J13" s="97"/>
      <c r="K13" s="97"/>
      <c r="L13" s="97"/>
    </row>
    <row r="14" spans="1:12" ht="24">
      <c r="A14" s="119" t="s">
        <v>178</v>
      </c>
      <c r="B14" s="134"/>
      <c r="C14" s="139" t="s">
        <v>260</v>
      </c>
      <c r="D14" s="139" t="s">
        <v>260</v>
      </c>
      <c r="E14" s="139" t="s">
        <v>182</v>
      </c>
      <c r="F14" s="128" t="s">
        <v>183</v>
      </c>
      <c r="G14" s="139" t="s">
        <v>511</v>
      </c>
      <c r="H14" s="139" t="s">
        <v>511</v>
      </c>
      <c r="I14" s="97"/>
      <c r="J14" s="97"/>
      <c r="K14" s="97"/>
      <c r="L14" s="97"/>
    </row>
    <row r="15" spans="1:12">
      <c r="A15" s="119" t="s">
        <v>95</v>
      </c>
      <c r="B15" s="134"/>
      <c r="C15" s="139" t="s">
        <v>89</v>
      </c>
      <c r="D15" s="139" t="s">
        <v>89</v>
      </c>
      <c r="E15" s="139" t="s">
        <v>89</v>
      </c>
      <c r="F15" s="128" t="s">
        <v>89</v>
      </c>
      <c r="G15" s="139" t="s">
        <v>89</v>
      </c>
      <c r="H15" s="139" t="s">
        <v>89</v>
      </c>
      <c r="I15" s="97"/>
      <c r="J15" s="97"/>
      <c r="K15" s="97"/>
      <c r="L15" s="97"/>
    </row>
    <row r="16" spans="1:12">
      <c r="A16" s="119" t="s">
        <v>100</v>
      </c>
      <c r="B16" s="134"/>
      <c r="C16" s="139" t="s">
        <v>261</v>
      </c>
      <c r="D16" s="139" t="s">
        <v>261</v>
      </c>
      <c r="E16" s="139" t="s">
        <v>262</v>
      </c>
      <c r="F16" s="128" t="s">
        <v>185</v>
      </c>
      <c r="G16" s="139" t="s">
        <v>512</v>
      </c>
      <c r="H16" s="139" t="s">
        <v>512</v>
      </c>
      <c r="I16" s="97"/>
      <c r="J16" s="97"/>
      <c r="K16" s="97"/>
      <c r="L16" s="97"/>
    </row>
    <row r="17" spans="1:12" ht="24">
      <c r="A17" s="97" t="s">
        <v>104</v>
      </c>
      <c r="B17" s="95" t="s">
        <v>105</v>
      </c>
      <c r="C17" s="135" t="s">
        <v>47</v>
      </c>
      <c r="D17" s="135" t="s">
        <v>47</v>
      </c>
      <c r="E17" s="135" t="s">
        <v>47</v>
      </c>
      <c r="F17" s="128" t="s">
        <v>47</v>
      </c>
      <c r="G17" s="135" t="s">
        <v>47</v>
      </c>
      <c r="H17" s="135" t="s">
        <v>47</v>
      </c>
      <c r="I17" s="97"/>
      <c r="J17" s="97"/>
      <c r="K17" s="97"/>
      <c r="L17" s="84"/>
    </row>
    <row r="18" spans="1:12" ht="96">
      <c r="A18" s="119" t="s">
        <v>107</v>
      </c>
      <c r="B18" s="95" t="s">
        <v>108</v>
      </c>
      <c r="C18" s="135" t="s">
        <v>263</v>
      </c>
      <c r="D18" s="135" t="s">
        <v>263</v>
      </c>
      <c r="E18" s="135" t="s">
        <v>264</v>
      </c>
      <c r="F18" s="150" t="s">
        <v>192</v>
      </c>
      <c r="G18" s="135" t="s">
        <v>517</v>
      </c>
      <c r="H18" s="135" t="s">
        <v>518</v>
      </c>
      <c r="I18" s="97"/>
      <c r="J18" s="97"/>
      <c r="K18" s="97"/>
      <c r="L18" s="97"/>
    </row>
    <row r="19" spans="1:12" ht="60" customHeight="1">
      <c r="A19" s="100" t="s">
        <v>132</v>
      </c>
      <c r="B19" s="100" t="s">
        <v>133</v>
      </c>
      <c r="C19" s="140" t="s">
        <v>193</v>
      </c>
      <c r="D19" s="140" t="s">
        <v>193</v>
      </c>
      <c r="E19" s="140" t="s">
        <v>193</v>
      </c>
      <c r="F19" s="150" t="s">
        <v>265</v>
      </c>
      <c r="G19" s="140" t="s">
        <v>193</v>
      </c>
      <c r="H19" s="140" t="s">
        <v>193</v>
      </c>
      <c r="I19" s="97"/>
      <c r="J19" s="97"/>
      <c r="K19" s="97"/>
      <c r="L19" s="97"/>
    </row>
    <row r="20" spans="1:12" ht="71.25" customHeight="1">
      <c r="A20" s="100" t="s">
        <v>140</v>
      </c>
      <c r="B20" s="100" t="s">
        <v>141</v>
      </c>
      <c r="C20" s="95" t="s">
        <v>266</v>
      </c>
      <c r="D20" s="95" t="s">
        <v>267</v>
      </c>
      <c r="E20" s="95" t="s">
        <v>196</v>
      </c>
      <c r="F20" s="150" t="s">
        <v>268</v>
      </c>
      <c r="G20" s="95" t="s">
        <v>513</v>
      </c>
      <c r="H20" s="95" t="s">
        <v>514</v>
      </c>
      <c r="I20" s="97"/>
      <c r="J20" s="97"/>
      <c r="K20" s="97"/>
      <c r="L20" s="97"/>
    </row>
    <row r="21" spans="1:12" ht="20.25" customHeight="1">
      <c r="A21" s="100" t="s">
        <v>200</v>
      </c>
      <c r="B21" s="142">
        <v>1</v>
      </c>
      <c r="C21" s="135" t="s">
        <v>47</v>
      </c>
      <c r="D21" s="135" t="s">
        <v>47</v>
      </c>
      <c r="E21" s="135" t="s">
        <v>47</v>
      </c>
      <c r="F21" s="128" t="s">
        <v>47</v>
      </c>
      <c r="G21" s="135" t="s">
        <v>47</v>
      </c>
      <c r="H21" s="135" t="s">
        <v>47</v>
      </c>
      <c r="I21" s="97"/>
      <c r="J21" s="97"/>
      <c r="K21" s="97"/>
      <c r="L21" s="97"/>
    </row>
    <row r="22" spans="1:12" ht="30" customHeight="1">
      <c r="A22" s="100" t="s">
        <v>201</v>
      </c>
      <c r="B22" s="100"/>
      <c r="C22" s="140" t="s">
        <v>202</v>
      </c>
      <c r="D22" s="140" t="s">
        <v>202</v>
      </c>
      <c r="E22" s="97" t="s">
        <v>131</v>
      </c>
      <c r="F22" s="150" t="s">
        <v>202</v>
      </c>
      <c r="G22" s="140" t="s">
        <v>202</v>
      </c>
      <c r="H22" s="140" t="s">
        <v>202</v>
      </c>
      <c r="I22" s="97"/>
      <c r="J22" s="97"/>
      <c r="K22" s="97"/>
      <c r="L22" s="97"/>
    </row>
    <row r="23" spans="1:12">
      <c r="A23" s="119" t="s">
        <v>145</v>
      </c>
      <c r="B23" s="134" t="s">
        <v>146</v>
      </c>
      <c r="C23" s="135" t="s">
        <v>47</v>
      </c>
      <c r="D23" s="135" t="s">
        <v>47</v>
      </c>
      <c r="E23" s="135" t="s">
        <v>47</v>
      </c>
      <c r="F23" s="128" t="s">
        <v>47</v>
      </c>
      <c r="G23" s="135" t="s">
        <v>47</v>
      </c>
      <c r="H23" s="135" t="s">
        <v>47</v>
      </c>
      <c r="I23" s="97"/>
      <c r="J23" s="97"/>
      <c r="K23" s="97"/>
      <c r="L23" s="97"/>
    </row>
    <row r="24" spans="1:12">
      <c r="A24" s="119" t="s">
        <v>147</v>
      </c>
      <c r="B24" s="134" t="s">
        <v>148</v>
      </c>
      <c r="C24" s="135" t="s">
        <v>47</v>
      </c>
      <c r="D24" s="135" t="s">
        <v>47</v>
      </c>
      <c r="E24" s="135" t="s">
        <v>47</v>
      </c>
      <c r="F24" s="128" t="s">
        <v>47</v>
      </c>
      <c r="G24" s="135" t="s">
        <v>47</v>
      </c>
      <c r="H24" s="135" t="s">
        <v>47</v>
      </c>
      <c r="I24" s="97"/>
      <c r="J24" s="97"/>
      <c r="K24" s="97"/>
      <c r="L24" s="97"/>
    </row>
    <row r="25" spans="1:12">
      <c r="A25" s="97" t="s">
        <v>149</v>
      </c>
      <c r="B25" s="134"/>
      <c r="C25" s="135" t="s">
        <v>150</v>
      </c>
      <c r="D25" s="135" t="s">
        <v>150</v>
      </c>
      <c r="E25" s="135" t="s">
        <v>150</v>
      </c>
      <c r="F25" s="128" t="s">
        <v>150</v>
      </c>
      <c r="G25" s="135" t="s">
        <v>150</v>
      </c>
      <c r="H25" s="135" t="s">
        <v>150</v>
      </c>
      <c r="I25" s="97"/>
      <c r="J25" s="97"/>
      <c r="K25" s="97"/>
      <c r="L25" s="97"/>
    </row>
    <row r="26" spans="1:12">
      <c r="A26" s="97" t="s">
        <v>204</v>
      </c>
      <c r="B26" s="134"/>
      <c r="C26" s="140" t="s">
        <v>205</v>
      </c>
      <c r="D26" s="140" t="s">
        <v>205</v>
      </c>
      <c r="E26" s="140" t="s">
        <v>205</v>
      </c>
      <c r="F26" s="124" t="s">
        <v>206</v>
      </c>
      <c r="G26" s="140" t="s">
        <v>205</v>
      </c>
      <c r="H26" s="140" t="s">
        <v>205</v>
      </c>
      <c r="I26" s="97"/>
      <c r="J26" s="97"/>
      <c r="K26" s="97"/>
      <c r="L26" s="97"/>
    </row>
    <row r="27" spans="1:12" ht="48">
      <c r="A27" s="97" t="s">
        <v>209</v>
      </c>
      <c r="B27" s="97"/>
      <c r="C27" s="95" t="s">
        <v>210</v>
      </c>
      <c r="D27" s="95" t="s">
        <v>210</v>
      </c>
      <c r="E27" s="95" t="s">
        <v>211</v>
      </c>
      <c r="F27" s="128" t="s">
        <v>89</v>
      </c>
      <c r="G27" s="95" t="s">
        <v>210</v>
      </c>
      <c r="H27" s="95" t="s">
        <v>210</v>
      </c>
      <c r="I27" s="97"/>
      <c r="J27" s="97"/>
      <c r="K27" s="97"/>
      <c r="L27" s="97"/>
    </row>
    <row r="28" spans="1:12">
      <c r="C28" s="135"/>
      <c r="D28" s="97"/>
      <c r="E28" s="97"/>
      <c r="F28" s="128"/>
      <c r="G28" s="135"/>
      <c r="H28" s="97"/>
      <c r="I28" s="97"/>
      <c r="J28" s="97"/>
      <c r="K28" s="97"/>
      <c r="L28" s="97"/>
    </row>
    <row r="29" spans="1:12">
      <c r="A29" s="131" t="s">
        <v>152</v>
      </c>
      <c r="B29" s="89" t="s">
        <v>153</v>
      </c>
      <c r="C29" s="140"/>
      <c r="D29" s="97"/>
      <c r="E29" s="97"/>
      <c r="F29" s="128"/>
      <c r="G29" s="140"/>
      <c r="H29" s="97"/>
      <c r="I29" s="97"/>
      <c r="J29" s="97"/>
      <c r="K29" s="97"/>
      <c r="L29" s="97"/>
    </row>
    <row r="30" spans="1:12">
      <c r="A30" s="100" t="s">
        <v>154</v>
      </c>
      <c r="B30" s="104" t="s">
        <v>155</v>
      </c>
      <c r="C30" s="143" t="s">
        <v>47</v>
      </c>
      <c r="D30" s="97"/>
      <c r="E30" s="143" t="s">
        <v>47</v>
      </c>
      <c r="F30" s="128" t="s">
        <v>47</v>
      </c>
      <c r="G30" s="143" t="s">
        <v>47</v>
      </c>
      <c r="H30" s="97"/>
      <c r="I30" s="97"/>
      <c r="J30" s="97"/>
      <c r="K30" s="97"/>
      <c r="L30" s="97"/>
    </row>
    <row r="31" spans="1:12">
      <c r="A31" s="100" t="s">
        <v>156</v>
      </c>
      <c r="B31" s="104" t="s">
        <v>257</v>
      </c>
      <c r="C31" s="140" t="s">
        <v>258</v>
      </c>
      <c r="D31" s="140" t="s">
        <v>258</v>
      </c>
      <c r="E31" s="140" t="s">
        <v>258</v>
      </c>
      <c r="F31" s="128" t="s">
        <v>158</v>
      </c>
      <c r="G31" s="140" t="s">
        <v>258</v>
      </c>
      <c r="H31" s="140" t="s">
        <v>258</v>
      </c>
      <c r="I31" s="97"/>
      <c r="J31" s="97"/>
      <c r="K31" s="97"/>
      <c r="L31" s="97"/>
    </row>
    <row r="32" spans="1:12">
      <c r="A32" s="100" t="s">
        <v>159</v>
      </c>
      <c r="B32" s="144"/>
      <c r="C32" s="142">
        <v>1</v>
      </c>
      <c r="D32" s="142">
        <v>1</v>
      </c>
      <c r="E32" s="142">
        <v>1</v>
      </c>
      <c r="F32" s="128">
        <v>1</v>
      </c>
      <c r="G32" s="194">
        <v>1</v>
      </c>
      <c r="H32" s="194">
        <v>1</v>
      </c>
      <c r="I32" s="97"/>
      <c r="J32" s="97"/>
      <c r="K32" s="97"/>
      <c r="L32" s="97"/>
    </row>
    <row r="33" spans="1:12" ht="14.25" customHeight="1">
      <c r="A33" s="215" t="s">
        <v>160</v>
      </c>
      <c r="B33" s="216" t="s">
        <v>161</v>
      </c>
      <c r="C33" s="211" t="s">
        <v>47</v>
      </c>
      <c r="D33" s="211" t="s">
        <v>47</v>
      </c>
      <c r="E33" s="211" t="s">
        <v>47</v>
      </c>
      <c r="F33" s="227" t="s">
        <v>47</v>
      </c>
      <c r="G33" s="211" t="s">
        <v>47</v>
      </c>
      <c r="H33" s="211" t="s">
        <v>47</v>
      </c>
      <c r="I33" s="97"/>
      <c r="J33" s="97"/>
      <c r="K33" s="97"/>
      <c r="L33" s="97"/>
    </row>
    <row r="34" spans="1:12">
      <c r="A34" s="215"/>
      <c r="B34" s="217"/>
      <c r="C34" s="211"/>
      <c r="D34" s="211"/>
      <c r="E34" s="211"/>
      <c r="F34" s="228"/>
      <c r="G34" s="211"/>
      <c r="H34" s="211"/>
      <c r="I34" s="97"/>
      <c r="J34" s="97"/>
      <c r="K34" s="97"/>
      <c r="L34" s="97"/>
    </row>
    <row r="35" spans="1:12">
      <c r="A35" s="100" t="s">
        <v>162</v>
      </c>
      <c r="B35" s="143" t="s">
        <v>163</v>
      </c>
      <c r="C35" s="142" t="s">
        <v>47</v>
      </c>
      <c r="D35" s="142" t="s">
        <v>47</v>
      </c>
      <c r="E35" s="142" t="s">
        <v>47</v>
      </c>
      <c r="F35" s="128" t="s">
        <v>47</v>
      </c>
      <c r="G35" s="194" t="s">
        <v>47</v>
      </c>
      <c r="H35" s="194" t="s">
        <v>47</v>
      </c>
      <c r="I35" s="97"/>
      <c r="J35" s="97"/>
      <c r="K35" s="97"/>
      <c r="L35" s="97"/>
    </row>
    <row r="36" spans="1:12" ht="36">
      <c r="A36" s="100" t="s">
        <v>164</v>
      </c>
      <c r="B36" s="142" t="s">
        <v>165</v>
      </c>
      <c r="C36" s="142" t="s">
        <v>165</v>
      </c>
      <c r="D36" s="142" t="s">
        <v>165</v>
      </c>
      <c r="E36" s="142" t="s">
        <v>165</v>
      </c>
      <c r="F36" s="128" t="s">
        <v>165</v>
      </c>
      <c r="G36" s="194" t="s">
        <v>165</v>
      </c>
      <c r="H36" s="194" t="s">
        <v>165</v>
      </c>
      <c r="I36" s="97"/>
      <c r="J36" s="97"/>
      <c r="K36" s="97"/>
      <c r="L36" s="97"/>
    </row>
    <row r="37" spans="1:12" ht="36">
      <c r="A37" s="100" t="s">
        <v>166</v>
      </c>
      <c r="B37" s="142" t="s">
        <v>165</v>
      </c>
      <c r="C37" s="142" t="s">
        <v>165</v>
      </c>
      <c r="D37" s="142" t="s">
        <v>165</v>
      </c>
      <c r="E37" s="142" t="s">
        <v>165</v>
      </c>
      <c r="F37" s="128" t="s">
        <v>165</v>
      </c>
      <c r="G37" s="194" t="s">
        <v>165</v>
      </c>
      <c r="H37" s="194" t="s">
        <v>165</v>
      </c>
      <c r="I37" s="97"/>
      <c r="J37" s="97"/>
      <c r="K37" s="97"/>
      <c r="L37" s="97"/>
    </row>
    <row r="38" spans="1:12" ht="24">
      <c r="A38" s="100" t="s">
        <v>167</v>
      </c>
      <c r="B38" s="142" t="s">
        <v>168</v>
      </c>
      <c r="C38" s="142" t="s">
        <v>47</v>
      </c>
      <c r="D38" s="142" t="s">
        <v>47</v>
      </c>
      <c r="E38" s="142" t="s">
        <v>47</v>
      </c>
      <c r="F38" s="128" t="s">
        <v>47</v>
      </c>
      <c r="G38" s="194" t="s">
        <v>47</v>
      </c>
      <c r="H38" s="194" t="s">
        <v>47</v>
      </c>
      <c r="I38" s="97"/>
      <c r="J38" s="97"/>
      <c r="K38" s="97"/>
      <c r="L38" s="97"/>
    </row>
    <row r="39" spans="1:12" ht="24">
      <c r="A39" s="100" t="s">
        <v>169</v>
      </c>
      <c r="B39" s="142" t="s">
        <v>165</v>
      </c>
      <c r="C39" s="142" t="s">
        <v>165</v>
      </c>
      <c r="D39" s="142" t="s">
        <v>165</v>
      </c>
      <c r="E39" s="142" t="s">
        <v>165</v>
      </c>
      <c r="F39" s="128" t="s">
        <v>165</v>
      </c>
      <c r="G39" s="194" t="s">
        <v>165</v>
      </c>
      <c r="H39" s="194" t="s">
        <v>165</v>
      </c>
      <c r="I39" s="97"/>
      <c r="J39" s="97"/>
      <c r="K39" s="97"/>
      <c r="L39" s="97"/>
    </row>
    <row r="40" spans="1:12" ht="24">
      <c r="A40" s="100" t="s">
        <v>170</v>
      </c>
      <c r="B40" s="142" t="s">
        <v>165</v>
      </c>
      <c r="C40" s="142" t="s">
        <v>165</v>
      </c>
      <c r="D40" s="142" t="s">
        <v>165</v>
      </c>
      <c r="E40" s="142" t="s">
        <v>165</v>
      </c>
      <c r="F40" s="128" t="s">
        <v>165</v>
      </c>
      <c r="G40" s="194" t="s">
        <v>165</v>
      </c>
      <c r="H40" s="194" t="s">
        <v>165</v>
      </c>
      <c r="I40" s="97"/>
      <c r="J40" s="97"/>
      <c r="K40" s="97"/>
      <c r="L40" s="97"/>
    </row>
    <row r="41" spans="1:12">
      <c r="A41" s="129" t="s">
        <v>171</v>
      </c>
      <c r="B41" s="145"/>
      <c r="D41" s="146"/>
      <c r="E41" s="146"/>
    </row>
  </sheetData>
  <mergeCells count="10">
    <mergeCell ref="A33:A34"/>
    <mergeCell ref="B33:B34"/>
    <mergeCell ref="C33:C34"/>
    <mergeCell ref="D33:D34"/>
    <mergeCell ref="E33:E34"/>
    <mergeCell ref="G2:H2"/>
    <mergeCell ref="G33:G34"/>
    <mergeCell ref="H33:H34"/>
    <mergeCell ref="F33:F34"/>
    <mergeCell ref="C2:E2"/>
  </mergeCells>
  <phoneticPr fontId="11" type="noConversion"/>
  <conditionalFormatting sqref="A6">
    <cfRule type="duplicateValues" dxfId="0" priority="1"/>
  </conditionalFormatting>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A10" zoomScale="85" zoomScaleNormal="85" workbookViewId="0">
      <selection activeCell="Q8" sqref="Q8"/>
    </sheetView>
  </sheetViews>
  <sheetFormatPr defaultColWidth="9.28515625" defaultRowHeight="14.25"/>
  <cols>
    <col min="1" max="1" width="9.28515625" style="84"/>
    <col min="2" max="2" width="29.42578125" style="84" customWidth="1"/>
    <col min="3" max="3" width="43" style="84" customWidth="1"/>
    <col min="4" max="4" width="37.28515625" style="85" customWidth="1"/>
    <col min="5" max="5" width="31.5703125" style="85" customWidth="1"/>
    <col min="6" max="6" width="31.42578125" style="85" customWidth="1"/>
    <col min="7" max="7" width="37.28515625" style="85" customWidth="1"/>
    <col min="8" max="10" width="31.42578125" style="85" customWidth="1"/>
    <col min="11" max="11" width="37.28515625" style="85" customWidth="1"/>
    <col min="12" max="15" width="31.42578125" style="85" customWidth="1"/>
    <col min="16" max="16" width="21.140625" style="84" customWidth="1"/>
    <col min="17" max="17" width="21.85546875" style="84" customWidth="1"/>
    <col min="18" max="18" width="31.5703125" style="85" customWidth="1"/>
    <col min="19" max="16384" width="9.28515625" style="84"/>
  </cols>
  <sheetData>
    <row r="1" spans="1:18" ht="45">
      <c r="A1" s="237" t="s">
        <v>37</v>
      </c>
      <c r="B1" s="238"/>
      <c r="C1" s="88" t="s">
        <v>269</v>
      </c>
      <c r="P1" s="123"/>
      <c r="Q1" s="123"/>
    </row>
    <row r="2" spans="1:18" ht="14.25" customHeight="1">
      <c r="A2" s="115" t="s">
        <v>270</v>
      </c>
      <c r="B2" s="116"/>
      <c r="C2" s="230" t="s">
        <v>39</v>
      </c>
      <c r="D2" s="213" t="s">
        <v>5</v>
      </c>
      <c r="E2" s="239"/>
      <c r="F2" s="214"/>
      <c r="G2" s="213" t="s">
        <v>12</v>
      </c>
      <c r="H2" s="239"/>
      <c r="I2" s="239"/>
      <c r="J2" s="214"/>
      <c r="K2" s="213" t="s">
        <v>14</v>
      </c>
      <c r="L2" s="239"/>
      <c r="M2" s="213" t="s">
        <v>16</v>
      </c>
      <c r="N2" s="214"/>
      <c r="O2" s="91" t="s">
        <v>18</v>
      </c>
      <c r="P2" s="223" t="s">
        <v>20</v>
      </c>
      <c r="Q2" s="224"/>
      <c r="R2" s="91" t="s">
        <v>23</v>
      </c>
    </row>
    <row r="3" spans="1:18">
      <c r="A3" s="86"/>
      <c r="B3" s="87"/>
      <c r="C3" s="231"/>
      <c r="D3" s="91" t="s">
        <v>41</v>
      </c>
      <c r="E3" s="91" t="s">
        <v>42</v>
      </c>
      <c r="F3" s="91" t="s">
        <v>43</v>
      </c>
      <c r="G3" s="91" t="s">
        <v>41</v>
      </c>
      <c r="H3" s="91" t="s">
        <v>42</v>
      </c>
      <c r="I3" s="91" t="s">
        <v>43</v>
      </c>
      <c r="J3" s="91" t="s">
        <v>44</v>
      </c>
      <c r="K3" s="91" t="s">
        <v>41</v>
      </c>
      <c r="L3" s="91" t="s">
        <v>42</v>
      </c>
      <c r="M3" s="91" t="s">
        <v>49</v>
      </c>
      <c r="N3" s="91" t="s">
        <v>50</v>
      </c>
      <c r="O3" s="91" t="s">
        <v>50</v>
      </c>
      <c r="P3" s="112" t="s">
        <v>49</v>
      </c>
      <c r="Q3" s="112" t="s">
        <v>50</v>
      </c>
      <c r="R3" s="91" t="s">
        <v>50</v>
      </c>
    </row>
    <row r="4" spans="1:18" ht="24">
      <c r="A4" s="232" t="s">
        <v>271</v>
      </c>
      <c r="B4" s="117" t="s">
        <v>272</v>
      </c>
      <c r="D4" s="95" t="s">
        <v>273</v>
      </c>
      <c r="E4" s="95" t="s">
        <v>273</v>
      </c>
      <c r="F4" s="95" t="s">
        <v>273</v>
      </c>
      <c r="G4" s="95" t="s">
        <v>273</v>
      </c>
      <c r="H4" s="95" t="s">
        <v>273</v>
      </c>
      <c r="I4" s="95" t="s">
        <v>274</v>
      </c>
      <c r="J4" s="95" t="s">
        <v>273</v>
      </c>
      <c r="K4" s="95" t="s">
        <v>273</v>
      </c>
      <c r="L4" s="95" t="s">
        <v>273</v>
      </c>
      <c r="M4" s="95" t="s">
        <v>273</v>
      </c>
      <c r="N4" s="95" t="s">
        <v>273</v>
      </c>
      <c r="O4" s="95" t="s">
        <v>273</v>
      </c>
      <c r="P4" s="124" t="s">
        <v>273</v>
      </c>
      <c r="Q4" s="124" t="s">
        <v>273</v>
      </c>
      <c r="R4" s="95" t="s">
        <v>273</v>
      </c>
    </row>
    <row r="5" spans="1:18">
      <c r="A5" s="233"/>
      <c r="B5" s="117" t="s">
        <v>275</v>
      </c>
      <c r="D5" s="118" t="s">
        <v>276</v>
      </c>
      <c r="E5" s="118" t="s">
        <v>276</v>
      </c>
      <c r="F5" s="119" t="s">
        <v>89</v>
      </c>
      <c r="G5" s="118" t="s">
        <v>276</v>
      </c>
      <c r="H5" s="118" t="s">
        <v>276</v>
      </c>
      <c r="I5" s="119" t="s">
        <v>89</v>
      </c>
      <c r="J5" s="119" t="s">
        <v>89</v>
      </c>
      <c r="K5" s="118" t="s">
        <v>276</v>
      </c>
      <c r="L5" s="118" t="s">
        <v>276</v>
      </c>
      <c r="M5" s="118" t="s">
        <v>276</v>
      </c>
      <c r="N5" s="118" t="s">
        <v>276</v>
      </c>
      <c r="O5" s="96" t="s">
        <v>277</v>
      </c>
      <c r="P5" s="125" t="s">
        <v>278</v>
      </c>
      <c r="Q5" s="125" t="s">
        <v>278</v>
      </c>
      <c r="R5" s="118" t="s">
        <v>276</v>
      </c>
    </row>
    <row r="6" spans="1:18" ht="132">
      <c r="A6" s="233"/>
      <c r="B6" s="93" t="s">
        <v>279</v>
      </c>
      <c r="C6" s="96"/>
      <c r="D6" s="96" t="s">
        <v>280</v>
      </c>
      <c r="E6" s="95" t="s">
        <v>281</v>
      </c>
      <c r="F6" s="96" t="s">
        <v>282</v>
      </c>
      <c r="G6" s="96" t="s">
        <v>284</v>
      </c>
      <c r="H6" s="121" t="s">
        <v>285</v>
      </c>
      <c r="I6" s="96" t="s">
        <v>286</v>
      </c>
      <c r="J6" s="121" t="s">
        <v>287</v>
      </c>
      <c r="K6" s="96" t="s">
        <v>280</v>
      </c>
      <c r="L6" s="95" t="s">
        <v>288</v>
      </c>
      <c r="M6" s="96" t="s">
        <v>289</v>
      </c>
      <c r="N6" s="96" t="s">
        <v>290</v>
      </c>
      <c r="O6" s="96" t="s">
        <v>291</v>
      </c>
      <c r="P6" s="124" t="s">
        <v>283</v>
      </c>
      <c r="Q6" s="125" t="s">
        <v>292</v>
      </c>
      <c r="R6" s="95" t="s">
        <v>288</v>
      </c>
    </row>
    <row r="7" spans="1:18" ht="36">
      <c r="A7" s="233"/>
      <c r="B7" s="93" t="s">
        <v>293</v>
      </c>
      <c r="C7" s="96"/>
      <c r="D7" s="96" t="s">
        <v>294</v>
      </c>
      <c r="E7" s="96" t="s">
        <v>294</v>
      </c>
      <c r="F7" s="96" t="s">
        <v>294</v>
      </c>
      <c r="G7" s="96" t="s">
        <v>295</v>
      </c>
      <c r="H7" s="96" t="s">
        <v>295</v>
      </c>
      <c r="I7" s="119" t="s">
        <v>89</v>
      </c>
      <c r="J7" s="119" t="s">
        <v>89</v>
      </c>
      <c r="K7" s="96" t="s">
        <v>294</v>
      </c>
      <c r="L7" s="96" t="s">
        <v>294</v>
      </c>
      <c r="M7" s="95" t="s">
        <v>296</v>
      </c>
      <c r="N7" s="95" t="s">
        <v>296</v>
      </c>
      <c r="O7" s="96" t="s">
        <v>297</v>
      </c>
      <c r="P7" s="124" t="s">
        <v>294</v>
      </c>
      <c r="Q7" s="125" t="s">
        <v>89</v>
      </c>
      <c r="R7" s="96" t="s">
        <v>294</v>
      </c>
    </row>
    <row r="8" spans="1:18" ht="48">
      <c r="A8" s="233"/>
      <c r="B8" s="93" t="s">
        <v>298</v>
      </c>
      <c r="C8" s="96"/>
      <c r="D8" s="96" t="s">
        <v>299</v>
      </c>
      <c r="E8" s="96" t="s">
        <v>300</v>
      </c>
      <c r="F8" s="97" t="s">
        <v>301</v>
      </c>
      <c r="G8" s="96" t="s">
        <v>303</v>
      </c>
      <c r="H8" s="96" t="s">
        <v>303</v>
      </c>
      <c r="I8" s="97" t="s">
        <v>304</v>
      </c>
      <c r="J8" s="97" t="s">
        <v>304</v>
      </c>
      <c r="K8" s="96" t="s">
        <v>305</v>
      </c>
      <c r="L8" s="96" t="s">
        <v>299</v>
      </c>
      <c r="M8" s="119" t="s">
        <v>302</v>
      </c>
      <c r="N8" s="96" t="s">
        <v>306</v>
      </c>
      <c r="O8" s="119" t="s">
        <v>302</v>
      </c>
      <c r="P8" s="126" t="s">
        <v>302</v>
      </c>
      <c r="Q8" s="126" t="s">
        <v>302</v>
      </c>
      <c r="R8" s="96" t="s">
        <v>307</v>
      </c>
    </row>
    <row r="9" spans="1:18" ht="60">
      <c r="A9" s="233"/>
      <c r="B9" s="93" t="s">
        <v>308</v>
      </c>
      <c r="C9" s="96"/>
      <c r="D9" s="96" t="s">
        <v>309</v>
      </c>
      <c r="E9" s="96" t="s">
        <v>309</v>
      </c>
      <c r="F9" s="119" t="s">
        <v>89</v>
      </c>
      <c r="G9" s="122" t="s">
        <v>310</v>
      </c>
      <c r="H9" s="122" t="s">
        <v>310</v>
      </c>
      <c r="I9" s="119" t="s">
        <v>89</v>
      </c>
      <c r="J9" s="119" t="s">
        <v>89</v>
      </c>
      <c r="K9" s="96" t="s">
        <v>309</v>
      </c>
      <c r="L9" s="96" t="s">
        <v>309</v>
      </c>
      <c r="M9" s="127" t="s">
        <v>311</v>
      </c>
      <c r="N9" s="127" t="s">
        <v>312</v>
      </c>
      <c r="O9" s="96" t="s">
        <v>309</v>
      </c>
      <c r="P9" s="124" t="s">
        <v>313</v>
      </c>
      <c r="Q9" s="124" t="s">
        <v>313</v>
      </c>
      <c r="R9" s="96" t="s">
        <v>309</v>
      </c>
    </row>
    <row r="10" spans="1:18">
      <c r="A10" s="233"/>
      <c r="B10" s="93" t="s">
        <v>314</v>
      </c>
      <c r="C10" s="96"/>
      <c r="D10" s="119" t="s">
        <v>89</v>
      </c>
      <c r="E10" s="119" t="s">
        <v>273</v>
      </c>
      <c r="F10" s="119" t="s">
        <v>89</v>
      </c>
      <c r="G10" s="119" t="s">
        <v>89</v>
      </c>
      <c r="H10" s="119" t="s">
        <v>89</v>
      </c>
      <c r="I10" s="119" t="s">
        <v>89</v>
      </c>
      <c r="J10" s="119" t="s">
        <v>89</v>
      </c>
      <c r="K10" s="119" t="s">
        <v>89</v>
      </c>
      <c r="L10" s="119" t="s">
        <v>273</v>
      </c>
      <c r="M10" s="119" t="s">
        <v>89</v>
      </c>
      <c r="N10" s="119" t="s">
        <v>315</v>
      </c>
      <c r="O10" s="96" t="s">
        <v>316</v>
      </c>
      <c r="P10" s="126" t="s">
        <v>89</v>
      </c>
      <c r="Q10" s="126" t="s">
        <v>273</v>
      </c>
      <c r="R10" s="119" t="s">
        <v>273</v>
      </c>
    </row>
    <row r="11" spans="1:18">
      <c r="A11" s="233"/>
      <c r="B11" s="93" t="s">
        <v>317</v>
      </c>
      <c r="C11" s="96"/>
      <c r="D11" s="119" t="s">
        <v>89</v>
      </c>
      <c r="E11" s="119" t="s">
        <v>89</v>
      </c>
      <c r="F11" s="97" t="s">
        <v>318</v>
      </c>
      <c r="G11" s="119" t="s">
        <v>89</v>
      </c>
      <c r="H11" s="119" t="s">
        <v>89</v>
      </c>
      <c r="I11" s="97" t="s">
        <v>318</v>
      </c>
      <c r="J11" s="97" t="s">
        <v>318</v>
      </c>
      <c r="K11" s="119" t="s">
        <v>89</v>
      </c>
      <c r="L11" s="119" t="s">
        <v>89</v>
      </c>
      <c r="M11" s="119" t="s">
        <v>89</v>
      </c>
      <c r="N11" s="119" t="s">
        <v>89</v>
      </c>
      <c r="O11" s="119" t="s">
        <v>89</v>
      </c>
      <c r="P11" s="124" t="s">
        <v>273</v>
      </c>
      <c r="Q11" s="124" t="s">
        <v>273</v>
      </c>
      <c r="R11" s="119" t="s">
        <v>89</v>
      </c>
    </row>
    <row r="12" spans="1:18">
      <c r="A12" s="233"/>
      <c r="B12" s="93" t="s">
        <v>319</v>
      </c>
      <c r="C12" s="96"/>
      <c r="D12" s="119" t="s">
        <v>89</v>
      </c>
      <c r="E12" s="119" t="s">
        <v>89</v>
      </c>
      <c r="F12" s="97" t="s">
        <v>320</v>
      </c>
      <c r="G12" s="119" t="s">
        <v>89</v>
      </c>
      <c r="H12" s="119" t="s">
        <v>89</v>
      </c>
      <c r="I12" s="97" t="s">
        <v>318</v>
      </c>
      <c r="J12" s="97" t="s">
        <v>318</v>
      </c>
      <c r="K12" s="119" t="s">
        <v>89</v>
      </c>
      <c r="L12" s="119" t="s">
        <v>89</v>
      </c>
      <c r="M12" s="119" t="s">
        <v>89</v>
      </c>
      <c r="N12" s="119" t="s">
        <v>89</v>
      </c>
      <c r="O12" s="119" t="s">
        <v>89</v>
      </c>
      <c r="P12" s="126" t="s">
        <v>89</v>
      </c>
      <c r="Q12" s="128" t="s">
        <v>321</v>
      </c>
      <c r="R12" s="119" t="s">
        <v>89</v>
      </c>
    </row>
    <row r="13" spans="1:18">
      <c r="A13" s="233"/>
      <c r="B13" s="93" t="s">
        <v>322</v>
      </c>
      <c r="C13" s="96"/>
      <c r="D13" s="119" t="s">
        <v>89</v>
      </c>
      <c r="E13" s="119" t="s">
        <v>89</v>
      </c>
      <c r="F13" s="97" t="s">
        <v>323</v>
      </c>
      <c r="G13" s="119" t="s">
        <v>89</v>
      </c>
      <c r="H13" s="119" t="s">
        <v>89</v>
      </c>
      <c r="I13" s="97" t="s">
        <v>324</v>
      </c>
      <c r="J13" s="97" t="s">
        <v>324</v>
      </c>
      <c r="K13" s="119" t="s">
        <v>89</v>
      </c>
      <c r="L13" s="119" t="s">
        <v>89</v>
      </c>
      <c r="M13" s="119" t="s">
        <v>89</v>
      </c>
      <c r="N13" s="119" t="s">
        <v>89</v>
      </c>
      <c r="O13" s="119" t="s">
        <v>89</v>
      </c>
      <c r="P13" s="126" t="s">
        <v>89</v>
      </c>
      <c r="Q13" s="128" t="s">
        <v>321</v>
      </c>
      <c r="R13" s="119" t="s">
        <v>89</v>
      </c>
    </row>
    <row r="14" spans="1:18" ht="24.75" customHeight="1">
      <c r="A14" s="234"/>
      <c r="B14" s="93" t="s">
        <v>325</v>
      </c>
      <c r="C14" s="96"/>
      <c r="D14" s="119" t="s">
        <v>89</v>
      </c>
      <c r="E14" s="119" t="s">
        <v>89</v>
      </c>
      <c r="F14" s="97" t="s">
        <v>326</v>
      </c>
      <c r="G14" s="119" t="s">
        <v>89</v>
      </c>
      <c r="H14" s="119" t="s">
        <v>89</v>
      </c>
      <c r="I14" s="97" t="s">
        <v>326</v>
      </c>
      <c r="J14" s="97" t="s">
        <v>327</v>
      </c>
      <c r="K14" s="119" t="s">
        <v>89</v>
      </c>
      <c r="L14" s="119" t="s">
        <v>89</v>
      </c>
      <c r="M14" s="119" t="s">
        <v>89</v>
      </c>
      <c r="N14" s="119" t="s">
        <v>89</v>
      </c>
      <c r="O14" s="119" t="s">
        <v>89</v>
      </c>
      <c r="P14" s="126" t="s">
        <v>89</v>
      </c>
      <c r="Q14" s="128" t="s">
        <v>321</v>
      </c>
      <c r="R14" s="119" t="s">
        <v>89</v>
      </c>
    </row>
    <row r="15" spans="1:18">
      <c r="A15" s="98"/>
      <c r="B15" s="102"/>
      <c r="C15" s="102"/>
      <c r="D15" s="119"/>
      <c r="E15" s="97"/>
      <c r="F15" s="97"/>
      <c r="G15" s="119"/>
      <c r="H15" s="97"/>
      <c r="I15" s="97"/>
      <c r="J15" s="97"/>
      <c r="K15" s="119"/>
      <c r="L15" s="97"/>
      <c r="M15" s="119" t="s">
        <v>89</v>
      </c>
      <c r="N15" s="119" t="s">
        <v>89</v>
      </c>
      <c r="O15" s="97"/>
      <c r="P15" s="126" t="s">
        <v>89</v>
      </c>
      <c r="Q15" s="128" t="s">
        <v>321</v>
      </c>
      <c r="R15" s="119" t="s">
        <v>89</v>
      </c>
    </row>
    <row r="16" spans="1:18">
      <c r="A16" s="98"/>
      <c r="B16" s="103"/>
      <c r="C16" s="104"/>
      <c r="D16" s="119"/>
      <c r="E16" s="97"/>
      <c r="F16" s="97"/>
      <c r="G16" s="119"/>
      <c r="H16" s="97"/>
      <c r="I16" s="97"/>
      <c r="J16" s="97"/>
      <c r="K16" s="119"/>
      <c r="L16" s="97"/>
      <c r="M16" s="119" t="s">
        <v>89</v>
      </c>
      <c r="N16" s="119" t="s">
        <v>89</v>
      </c>
      <c r="O16" s="97"/>
      <c r="P16" s="126" t="s">
        <v>89</v>
      </c>
      <c r="Q16" s="128" t="s">
        <v>321</v>
      </c>
      <c r="R16" s="119" t="s">
        <v>89</v>
      </c>
    </row>
    <row r="17" spans="1:18">
      <c r="A17" s="98"/>
      <c r="B17" s="105"/>
      <c r="C17" s="104"/>
      <c r="D17" s="119"/>
      <c r="E17" s="97"/>
      <c r="F17" s="97"/>
      <c r="G17" s="119"/>
      <c r="H17" s="97"/>
      <c r="I17" s="97"/>
      <c r="J17" s="97"/>
      <c r="K17" s="119"/>
      <c r="L17" s="97"/>
      <c r="M17" s="119" t="s">
        <v>89</v>
      </c>
      <c r="N17" s="119" t="s">
        <v>89</v>
      </c>
      <c r="O17" s="97"/>
      <c r="P17" s="126" t="s">
        <v>89</v>
      </c>
      <c r="Q17" s="128" t="s">
        <v>321</v>
      </c>
      <c r="R17" s="119" t="s">
        <v>89</v>
      </c>
    </row>
    <row r="18" spans="1:18">
      <c r="A18" s="98"/>
      <c r="B18" s="105"/>
      <c r="C18" s="104"/>
      <c r="D18" s="119"/>
      <c r="E18" s="97"/>
      <c r="F18" s="97"/>
      <c r="G18" s="119"/>
      <c r="H18" s="97"/>
      <c r="I18" s="97"/>
      <c r="J18" s="97"/>
      <c r="K18" s="119"/>
      <c r="L18" s="97"/>
      <c r="M18" s="119" t="s">
        <v>89</v>
      </c>
      <c r="N18" s="119" t="s">
        <v>89</v>
      </c>
      <c r="O18" s="97"/>
      <c r="P18" s="126" t="s">
        <v>89</v>
      </c>
      <c r="Q18" s="128" t="s">
        <v>321</v>
      </c>
      <c r="R18" s="119" t="s">
        <v>89</v>
      </c>
    </row>
    <row r="19" spans="1:18">
      <c r="A19" s="98"/>
      <c r="B19" s="105"/>
      <c r="C19" s="104"/>
      <c r="D19" s="119"/>
      <c r="E19" s="97"/>
      <c r="F19" s="97"/>
      <c r="G19" s="119"/>
      <c r="H19" s="97"/>
      <c r="I19" s="97"/>
      <c r="J19" s="97"/>
      <c r="K19" s="119"/>
      <c r="L19" s="97"/>
      <c r="M19" s="119" t="s">
        <v>89</v>
      </c>
      <c r="N19" s="119" t="s">
        <v>89</v>
      </c>
      <c r="O19" s="97"/>
      <c r="P19" s="126" t="s">
        <v>89</v>
      </c>
      <c r="Q19" s="128" t="s">
        <v>321</v>
      </c>
      <c r="R19" s="119" t="s">
        <v>89</v>
      </c>
    </row>
    <row r="20" spans="1:18">
      <c r="A20" s="98"/>
      <c r="B20" s="105"/>
      <c r="C20" s="104"/>
      <c r="D20" s="119"/>
      <c r="E20" s="97"/>
      <c r="F20" s="97"/>
      <c r="G20" s="119"/>
      <c r="H20" s="97"/>
      <c r="I20" s="97"/>
      <c r="J20" s="97"/>
      <c r="K20" s="119"/>
      <c r="L20" s="97"/>
      <c r="M20" s="97"/>
      <c r="N20" s="97"/>
      <c r="O20" s="97"/>
      <c r="P20" s="126" t="s">
        <v>89</v>
      </c>
      <c r="Q20" s="126" t="s">
        <v>89</v>
      </c>
      <c r="R20" s="97"/>
    </row>
    <row r="21" spans="1:18">
      <c r="A21" s="98"/>
      <c r="B21" s="105"/>
      <c r="C21" s="107"/>
      <c r="D21" s="119"/>
      <c r="E21" s="97"/>
      <c r="F21" s="97"/>
      <c r="G21" s="119"/>
      <c r="H21" s="97"/>
      <c r="I21" s="97"/>
      <c r="J21" s="97"/>
      <c r="K21" s="119"/>
      <c r="L21" s="97"/>
      <c r="M21" s="97"/>
      <c r="N21" s="97"/>
      <c r="O21" s="97"/>
      <c r="R21" s="97"/>
    </row>
    <row r="22" spans="1:18">
      <c r="A22" s="98"/>
      <c r="B22" s="99"/>
      <c r="C22" s="104"/>
      <c r="D22" s="119"/>
      <c r="E22" s="97"/>
      <c r="F22" s="97"/>
      <c r="G22" s="119"/>
      <c r="H22" s="97"/>
      <c r="I22" s="97"/>
      <c r="J22" s="97"/>
      <c r="K22" s="119"/>
      <c r="L22" s="97"/>
      <c r="M22" s="97"/>
      <c r="N22" s="97"/>
      <c r="O22" s="97"/>
      <c r="R22" s="97"/>
    </row>
    <row r="23" spans="1:18">
      <c r="A23" s="98"/>
      <c r="B23" s="235"/>
      <c r="C23" s="104"/>
      <c r="D23" s="119"/>
      <c r="E23" s="97"/>
      <c r="F23" s="97"/>
      <c r="G23" s="119"/>
      <c r="H23" s="97"/>
      <c r="I23" s="97"/>
      <c r="J23" s="97"/>
      <c r="K23" s="119"/>
      <c r="L23" s="97"/>
      <c r="M23" s="97"/>
      <c r="N23" s="97"/>
      <c r="O23" s="97"/>
      <c r="R23" s="97"/>
    </row>
    <row r="24" spans="1:18">
      <c r="A24" s="98"/>
      <c r="B24" s="235"/>
      <c r="C24" s="104"/>
      <c r="D24" s="119"/>
      <c r="E24" s="97"/>
      <c r="F24" s="97"/>
      <c r="G24" s="119"/>
      <c r="H24" s="97"/>
      <c r="I24" s="97"/>
      <c r="J24" s="97"/>
      <c r="K24" s="119"/>
      <c r="L24" s="97"/>
      <c r="M24" s="97"/>
      <c r="N24" s="97"/>
      <c r="O24" s="97"/>
      <c r="R24" s="97"/>
    </row>
    <row r="25" spans="1:18">
      <c r="A25" s="98"/>
      <c r="B25" s="105"/>
      <c r="C25" s="104"/>
      <c r="D25" s="119"/>
      <c r="E25" s="97"/>
      <c r="F25" s="97"/>
      <c r="G25" s="119"/>
      <c r="H25" s="97"/>
      <c r="I25" s="97"/>
      <c r="J25" s="97"/>
      <c r="K25" s="119"/>
      <c r="L25" s="97"/>
      <c r="M25" s="97"/>
      <c r="N25" s="97"/>
      <c r="O25" s="97"/>
      <c r="R25" s="97"/>
    </row>
    <row r="26" spans="1:18">
      <c r="B26" s="106"/>
      <c r="C26" s="108"/>
      <c r="D26" s="119"/>
      <c r="E26" s="97"/>
      <c r="F26" s="97"/>
      <c r="G26" s="119"/>
      <c r="H26" s="97"/>
      <c r="I26" s="97"/>
      <c r="J26" s="97"/>
      <c r="K26" s="119"/>
      <c r="L26" s="97"/>
      <c r="M26" s="97"/>
      <c r="N26" s="97"/>
      <c r="O26" s="97"/>
      <c r="R26" s="97"/>
    </row>
    <row r="27" spans="1:18">
      <c r="B27" s="106"/>
      <c r="C27" s="104"/>
      <c r="D27" s="119"/>
      <c r="E27" s="97"/>
      <c r="F27" s="97"/>
      <c r="G27" s="119"/>
      <c r="H27" s="97"/>
      <c r="I27" s="97"/>
      <c r="J27" s="97"/>
      <c r="K27" s="119"/>
      <c r="L27" s="97"/>
      <c r="M27" s="97"/>
      <c r="N27" s="97"/>
      <c r="O27" s="97"/>
      <c r="R27" s="97"/>
    </row>
    <row r="28" spans="1:18">
      <c r="B28" s="106"/>
      <c r="C28" s="104"/>
      <c r="D28" s="119"/>
      <c r="E28" s="97"/>
      <c r="F28" s="97"/>
      <c r="G28" s="119"/>
      <c r="H28" s="97"/>
      <c r="I28" s="97"/>
      <c r="J28" s="97"/>
      <c r="K28" s="119"/>
      <c r="L28" s="97"/>
      <c r="M28" s="97"/>
      <c r="N28" s="97"/>
      <c r="O28" s="97"/>
      <c r="R28" s="97"/>
    </row>
    <row r="29" spans="1:18">
      <c r="B29" s="236"/>
      <c r="C29" s="212"/>
      <c r="D29" s="119"/>
      <c r="E29" s="97"/>
      <c r="F29" s="97"/>
      <c r="G29" s="119"/>
      <c r="H29" s="97"/>
      <c r="I29" s="97"/>
      <c r="J29" s="97"/>
      <c r="K29" s="119"/>
      <c r="L29" s="97"/>
      <c r="M29" s="97"/>
      <c r="N29" s="97"/>
      <c r="O29" s="97"/>
      <c r="R29" s="97"/>
    </row>
    <row r="30" spans="1:18">
      <c r="B30" s="236"/>
      <c r="C30" s="212"/>
      <c r="D30" s="119"/>
      <c r="E30" s="97"/>
      <c r="F30" s="97"/>
      <c r="G30" s="119"/>
      <c r="H30" s="97"/>
      <c r="I30" s="97"/>
      <c r="J30" s="97"/>
      <c r="K30" s="119"/>
      <c r="L30" s="97"/>
      <c r="M30" s="97"/>
      <c r="N30" s="97"/>
      <c r="O30" s="97"/>
      <c r="R30" s="97"/>
    </row>
    <row r="31" spans="1:18">
      <c r="B31" s="106"/>
      <c r="C31" s="104"/>
      <c r="D31" s="119"/>
      <c r="E31" s="97"/>
      <c r="F31" s="97"/>
      <c r="G31" s="119"/>
      <c r="H31" s="97"/>
      <c r="I31" s="97"/>
      <c r="J31" s="97"/>
      <c r="K31" s="119"/>
      <c r="L31" s="97"/>
      <c r="M31" s="97"/>
      <c r="N31" s="97"/>
      <c r="O31" s="97"/>
      <c r="R31" s="97"/>
    </row>
    <row r="32" spans="1:18">
      <c r="B32" s="106"/>
      <c r="C32" s="104"/>
      <c r="D32" s="119"/>
      <c r="E32" s="97"/>
      <c r="F32" s="97"/>
      <c r="G32" s="119"/>
      <c r="H32" s="97"/>
      <c r="I32" s="97"/>
      <c r="J32" s="97"/>
      <c r="K32" s="119"/>
      <c r="L32" s="97"/>
      <c r="M32" s="97"/>
      <c r="N32" s="97"/>
      <c r="O32" s="97"/>
      <c r="R32" s="97"/>
    </row>
    <row r="33" spans="2:18">
      <c r="B33" s="106"/>
      <c r="C33" s="104"/>
      <c r="D33" s="119"/>
      <c r="E33" s="97"/>
      <c r="F33" s="97"/>
      <c r="G33" s="119"/>
      <c r="H33" s="97"/>
      <c r="I33" s="97"/>
      <c r="J33" s="97"/>
      <c r="K33" s="119"/>
      <c r="L33" s="97"/>
      <c r="M33" s="97"/>
      <c r="N33" s="97"/>
      <c r="O33" s="97"/>
      <c r="R33" s="97"/>
    </row>
    <row r="34" spans="2:18">
      <c r="B34" s="106"/>
      <c r="C34" s="109"/>
      <c r="D34" s="119"/>
      <c r="E34" s="97"/>
      <c r="F34" s="97"/>
      <c r="G34" s="119"/>
      <c r="H34" s="97"/>
      <c r="I34" s="97"/>
      <c r="J34" s="97"/>
      <c r="K34" s="119"/>
      <c r="L34" s="97"/>
      <c r="M34" s="97"/>
      <c r="N34" s="97"/>
      <c r="O34" s="97"/>
      <c r="R34" s="97"/>
    </row>
    <row r="35" spans="2:18">
      <c r="B35" s="106"/>
      <c r="C35" s="107"/>
      <c r="D35" s="119"/>
      <c r="E35" s="97"/>
      <c r="F35" s="97"/>
      <c r="G35" s="119"/>
      <c r="H35" s="97"/>
      <c r="I35" s="97"/>
      <c r="J35" s="97"/>
      <c r="K35" s="119"/>
      <c r="L35" s="97"/>
      <c r="M35" s="97"/>
      <c r="N35" s="97"/>
      <c r="O35" s="97"/>
      <c r="R35" s="97"/>
    </row>
    <row r="36" spans="2:18">
      <c r="B36" s="106"/>
      <c r="C36" s="110"/>
      <c r="D36" s="119"/>
      <c r="E36" s="97"/>
      <c r="F36" s="97"/>
      <c r="G36" s="119"/>
      <c r="H36" s="97"/>
      <c r="I36" s="97"/>
      <c r="J36" s="97"/>
      <c r="K36" s="119"/>
      <c r="L36" s="97"/>
      <c r="M36" s="97"/>
      <c r="N36" s="97"/>
      <c r="O36" s="97"/>
      <c r="R36" s="97"/>
    </row>
    <row r="37" spans="2:18">
      <c r="B37" s="106"/>
      <c r="C37" s="108"/>
      <c r="D37" s="119"/>
      <c r="E37" s="97"/>
      <c r="F37" s="97"/>
      <c r="G37" s="119"/>
      <c r="H37" s="97"/>
      <c r="I37" s="97"/>
      <c r="J37" s="97"/>
      <c r="K37" s="119"/>
      <c r="L37" s="97"/>
      <c r="M37" s="97"/>
      <c r="N37" s="97"/>
      <c r="O37" s="97"/>
      <c r="R37" s="97"/>
    </row>
    <row r="38" spans="2:18">
      <c r="B38" s="106"/>
      <c r="C38" s="104"/>
      <c r="D38" s="119"/>
      <c r="E38" s="97"/>
      <c r="F38" s="97"/>
      <c r="G38" s="119"/>
      <c r="H38" s="97"/>
      <c r="I38" s="97"/>
      <c r="J38" s="97"/>
      <c r="K38" s="119"/>
      <c r="L38" s="97"/>
      <c r="M38" s="97"/>
      <c r="N38" s="97"/>
      <c r="O38" s="97"/>
      <c r="R38" s="97"/>
    </row>
    <row r="39" spans="2:18">
      <c r="B39" s="236"/>
      <c r="C39" s="104"/>
      <c r="D39" s="119"/>
      <c r="E39" s="97"/>
      <c r="F39" s="97"/>
      <c r="G39" s="119"/>
      <c r="H39" s="97"/>
      <c r="I39" s="97"/>
      <c r="J39" s="97"/>
      <c r="K39" s="119"/>
      <c r="L39" s="97"/>
      <c r="M39" s="97"/>
      <c r="N39" s="97"/>
      <c r="O39" s="97"/>
      <c r="R39" s="97"/>
    </row>
    <row r="40" spans="2:18">
      <c r="B40" s="236"/>
      <c r="C40" s="104"/>
      <c r="D40" s="119"/>
      <c r="E40" s="97"/>
      <c r="F40" s="97"/>
      <c r="G40" s="119"/>
      <c r="H40" s="97"/>
      <c r="I40" s="97"/>
      <c r="J40" s="97"/>
      <c r="K40" s="119"/>
      <c r="L40" s="97"/>
      <c r="M40" s="97"/>
      <c r="N40" s="97"/>
      <c r="O40" s="97"/>
      <c r="R40" s="97"/>
    </row>
    <row r="41" spans="2:18">
      <c r="B41" s="236"/>
      <c r="C41" s="104"/>
      <c r="D41" s="119"/>
      <c r="E41" s="97"/>
      <c r="F41" s="97"/>
      <c r="G41" s="119"/>
      <c r="H41" s="97"/>
      <c r="I41" s="97"/>
      <c r="J41" s="97"/>
      <c r="K41" s="119"/>
      <c r="L41" s="97"/>
      <c r="M41" s="97"/>
      <c r="N41" s="97"/>
      <c r="O41" s="97"/>
      <c r="R41" s="97"/>
    </row>
    <row r="42" spans="2:18">
      <c r="B42" s="236"/>
      <c r="C42" s="104"/>
      <c r="D42" s="119"/>
      <c r="E42" s="97"/>
      <c r="F42" s="97"/>
      <c r="G42" s="119"/>
      <c r="H42" s="97"/>
      <c r="I42" s="97"/>
      <c r="J42" s="97"/>
      <c r="K42" s="119"/>
      <c r="L42" s="97"/>
      <c r="M42" s="97"/>
      <c r="N42" s="97"/>
      <c r="O42" s="97"/>
      <c r="R42" s="97"/>
    </row>
    <row r="43" spans="2:18">
      <c r="B43" s="229"/>
      <c r="C43" s="212"/>
      <c r="D43" s="119"/>
      <c r="E43" s="97"/>
      <c r="F43" s="97"/>
      <c r="G43" s="119"/>
      <c r="H43" s="97"/>
      <c r="I43" s="97"/>
      <c r="J43" s="97"/>
      <c r="K43" s="119"/>
      <c r="L43" s="97"/>
      <c r="M43" s="97"/>
      <c r="N43" s="97"/>
      <c r="O43" s="97"/>
      <c r="R43" s="97"/>
    </row>
    <row r="44" spans="2:18">
      <c r="B44" s="229"/>
      <c r="C44" s="212"/>
      <c r="D44" s="119"/>
      <c r="E44" s="97"/>
      <c r="F44" s="97"/>
      <c r="G44" s="119"/>
      <c r="H44" s="97"/>
      <c r="I44" s="97"/>
      <c r="J44" s="97"/>
      <c r="K44" s="119"/>
      <c r="L44" s="97"/>
      <c r="M44" s="97"/>
      <c r="N44" s="97"/>
      <c r="O44" s="97"/>
      <c r="R44" s="97"/>
    </row>
    <row r="45" spans="2:18">
      <c r="B45" s="100"/>
      <c r="C45" s="104"/>
      <c r="D45" s="119"/>
      <c r="E45" s="97"/>
      <c r="F45" s="97"/>
      <c r="G45" s="119"/>
      <c r="H45" s="97"/>
      <c r="I45" s="97"/>
      <c r="J45" s="97"/>
      <c r="K45" s="119"/>
      <c r="L45" s="97"/>
      <c r="M45" s="97"/>
      <c r="N45" s="97"/>
      <c r="O45" s="97"/>
      <c r="R45" s="97"/>
    </row>
    <row r="46" spans="2:18">
      <c r="B46" s="100"/>
      <c r="C46" s="104"/>
      <c r="D46" s="119"/>
      <c r="E46" s="97"/>
      <c r="F46" s="97"/>
      <c r="G46" s="119"/>
      <c r="H46" s="97"/>
      <c r="I46" s="97"/>
      <c r="J46" s="97"/>
      <c r="K46" s="119"/>
      <c r="L46" s="97"/>
      <c r="M46" s="97"/>
      <c r="N46" s="97"/>
      <c r="O46" s="97"/>
      <c r="R46" s="97"/>
    </row>
    <row r="47" spans="2:18">
      <c r="B47" s="100"/>
      <c r="C47" s="104"/>
      <c r="D47" s="119"/>
      <c r="E47" s="97"/>
      <c r="F47" s="97"/>
      <c r="G47" s="119"/>
      <c r="H47" s="97"/>
      <c r="I47" s="97"/>
      <c r="J47" s="97"/>
      <c r="K47" s="119"/>
      <c r="L47" s="97"/>
      <c r="M47" s="97"/>
      <c r="N47" s="97"/>
      <c r="O47" s="97"/>
      <c r="R47" s="97"/>
    </row>
    <row r="48" spans="2:18">
      <c r="B48" s="100"/>
      <c r="C48" s="108"/>
      <c r="D48" s="119"/>
      <c r="E48" s="97"/>
      <c r="F48" s="97"/>
      <c r="G48" s="119"/>
      <c r="H48" s="97"/>
      <c r="I48" s="97"/>
      <c r="J48" s="97"/>
      <c r="K48" s="119"/>
      <c r="L48" s="97"/>
      <c r="M48" s="97"/>
      <c r="N48" s="97"/>
      <c r="O48" s="97"/>
      <c r="R48" s="97"/>
    </row>
    <row r="49" spans="2:18" ht="14.25" customHeight="1">
      <c r="B49" s="215"/>
      <c r="C49" s="212"/>
      <c r="D49" s="119"/>
      <c r="E49" s="97"/>
      <c r="F49" s="97"/>
      <c r="G49" s="119"/>
      <c r="H49" s="97"/>
      <c r="I49" s="97"/>
      <c r="J49" s="97"/>
      <c r="K49" s="119"/>
      <c r="L49" s="97"/>
      <c r="M49" s="97"/>
      <c r="N49" s="97"/>
      <c r="O49" s="97"/>
      <c r="R49" s="97"/>
    </row>
    <row r="50" spans="2:18">
      <c r="B50" s="215"/>
      <c r="C50" s="212"/>
      <c r="D50" s="119"/>
      <c r="E50" s="97"/>
      <c r="F50" s="97"/>
      <c r="G50" s="119"/>
      <c r="H50" s="97"/>
      <c r="I50" s="97"/>
      <c r="J50" s="97"/>
      <c r="K50" s="119"/>
      <c r="L50" s="97"/>
      <c r="M50" s="97"/>
      <c r="N50" s="97"/>
      <c r="O50" s="97"/>
      <c r="R50" s="97"/>
    </row>
    <row r="51" spans="2:18">
      <c r="B51" s="100"/>
      <c r="C51" s="104"/>
      <c r="D51" s="119"/>
      <c r="E51" s="97"/>
      <c r="F51" s="97"/>
      <c r="G51" s="119"/>
      <c r="H51" s="97"/>
      <c r="I51" s="97"/>
      <c r="J51" s="97"/>
      <c r="K51" s="119"/>
      <c r="L51" s="97"/>
      <c r="M51" s="97"/>
      <c r="N51" s="97"/>
      <c r="O51" s="97"/>
      <c r="R51" s="97"/>
    </row>
    <row r="52" spans="2:18">
      <c r="B52" s="100"/>
      <c r="C52" s="104"/>
      <c r="D52" s="119"/>
      <c r="E52" s="97"/>
      <c r="F52" s="97"/>
      <c r="G52" s="119"/>
      <c r="H52" s="97"/>
      <c r="I52" s="97"/>
      <c r="J52" s="97"/>
      <c r="K52" s="119"/>
      <c r="L52" s="97"/>
      <c r="M52" s="97"/>
      <c r="N52" s="97"/>
      <c r="O52" s="97"/>
      <c r="R52" s="97"/>
    </row>
    <row r="53" spans="2:18">
      <c r="B53" s="100"/>
      <c r="C53" s="104"/>
      <c r="D53" s="119"/>
      <c r="E53" s="97"/>
      <c r="F53" s="97"/>
      <c r="G53" s="119"/>
      <c r="H53" s="97"/>
      <c r="I53" s="97"/>
      <c r="J53" s="97"/>
      <c r="K53" s="119"/>
      <c r="L53" s="97"/>
      <c r="M53" s="97"/>
      <c r="N53" s="97"/>
      <c r="O53" s="97"/>
      <c r="R53" s="97"/>
    </row>
    <row r="54" spans="2:18">
      <c r="B54" s="100"/>
      <c r="C54" s="104"/>
      <c r="D54" s="119"/>
      <c r="E54" s="97"/>
      <c r="F54" s="97"/>
      <c r="G54" s="119"/>
      <c r="H54" s="97"/>
      <c r="I54" s="97"/>
      <c r="J54" s="97"/>
      <c r="K54" s="119"/>
      <c r="L54" s="97"/>
      <c r="M54" s="97"/>
      <c r="N54" s="97"/>
      <c r="O54" s="97"/>
      <c r="R54" s="97"/>
    </row>
    <row r="55" spans="2:18">
      <c r="B55" s="100"/>
      <c r="C55" s="104"/>
      <c r="D55" s="119"/>
      <c r="E55" s="97"/>
      <c r="F55" s="97"/>
      <c r="G55" s="119"/>
      <c r="H55" s="97"/>
      <c r="I55" s="97"/>
      <c r="J55" s="97"/>
      <c r="K55" s="119"/>
      <c r="L55" s="97"/>
      <c r="M55" s="97"/>
      <c r="N55" s="97"/>
      <c r="O55" s="97"/>
      <c r="R55" s="97"/>
    </row>
    <row r="56" spans="2:18">
      <c r="B56" s="100"/>
      <c r="C56" s="104"/>
      <c r="D56" s="119"/>
      <c r="E56" s="97"/>
      <c r="F56" s="97"/>
      <c r="G56" s="119"/>
      <c r="H56" s="97"/>
      <c r="I56" s="97"/>
      <c r="J56" s="97"/>
      <c r="K56" s="119"/>
      <c r="L56" s="97"/>
      <c r="M56" s="97"/>
      <c r="N56" s="97"/>
      <c r="O56" s="97"/>
      <c r="R56" s="97"/>
    </row>
    <row r="57" spans="2:18">
      <c r="B57" s="100"/>
      <c r="C57" s="104"/>
      <c r="D57" s="119"/>
      <c r="E57" s="97"/>
      <c r="F57" s="97"/>
      <c r="G57" s="119"/>
      <c r="H57" s="97"/>
      <c r="I57" s="97"/>
      <c r="J57" s="97"/>
      <c r="K57" s="119"/>
      <c r="L57" s="97"/>
      <c r="M57" s="97"/>
      <c r="N57" s="97"/>
      <c r="O57" s="97"/>
      <c r="R57" s="97"/>
    </row>
    <row r="58" spans="2:18">
      <c r="B58" s="100"/>
      <c r="C58" s="104"/>
      <c r="D58" s="119"/>
      <c r="E58" s="97"/>
      <c r="F58" s="97"/>
      <c r="G58" s="119"/>
      <c r="H58" s="97"/>
      <c r="I58" s="97"/>
      <c r="J58" s="97"/>
      <c r="K58" s="119"/>
      <c r="L58" s="97"/>
      <c r="M58" s="97"/>
      <c r="N58" s="97"/>
      <c r="O58" s="97"/>
      <c r="R58" s="97"/>
    </row>
    <row r="59" spans="2:18">
      <c r="B59" s="100"/>
      <c r="C59" s="108"/>
      <c r="D59" s="120"/>
      <c r="G59" s="120"/>
      <c r="K59" s="120"/>
      <c r="O59" s="97"/>
    </row>
    <row r="60" spans="2:18">
      <c r="O60" s="97"/>
    </row>
    <row r="61" spans="2:18">
      <c r="O61" s="97"/>
    </row>
    <row r="62" spans="2:18">
      <c r="O62" s="97"/>
    </row>
    <row r="63" spans="2:18">
      <c r="O63" s="97"/>
    </row>
    <row r="64" spans="2:18">
      <c r="O64" s="97"/>
    </row>
    <row r="65" spans="15:15">
      <c r="O65" s="97"/>
    </row>
    <row r="66" spans="15:15">
      <c r="O66" s="97"/>
    </row>
    <row r="67" spans="15:15">
      <c r="O67" s="97"/>
    </row>
    <row r="68" spans="15:15">
      <c r="O68" s="97"/>
    </row>
  </sheetData>
  <mergeCells count="16">
    <mergeCell ref="A1:B1"/>
    <mergeCell ref="D2:F2"/>
    <mergeCell ref="G2:J2"/>
    <mergeCell ref="K2:L2"/>
    <mergeCell ref="M2:N2"/>
    <mergeCell ref="P2:Q2"/>
    <mergeCell ref="A4:A14"/>
    <mergeCell ref="B23:B24"/>
    <mergeCell ref="B29:B30"/>
    <mergeCell ref="B39:B42"/>
    <mergeCell ref="B43:B44"/>
    <mergeCell ref="B49:B50"/>
    <mergeCell ref="C2:C3"/>
    <mergeCell ref="C29:C30"/>
    <mergeCell ref="C43:C44"/>
    <mergeCell ref="C49:C50"/>
  </mergeCells>
  <phoneticPr fontId="1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opLeftCell="F1" workbookViewId="0">
      <selection activeCell="K10" sqref="K10"/>
    </sheetView>
  </sheetViews>
  <sheetFormatPr defaultColWidth="9.28515625" defaultRowHeight="14.25"/>
  <cols>
    <col min="1" max="1" width="9.28515625" style="84"/>
    <col min="2" max="2" width="29.42578125" style="84" customWidth="1"/>
    <col min="3" max="3" width="43" style="84" customWidth="1"/>
    <col min="4" max="8" width="31.42578125" style="85" customWidth="1"/>
    <col min="9" max="9" width="31.5703125" style="85" customWidth="1"/>
    <col min="10" max="16" width="31.42578125" style="85" customWidth="1"/>
    <col min="17" max="16384" width="9.28515625" style="84"/>
  </cols>
  <sheetData>
    <row r="1" spans="1:16" ht="15">
      <c r="A1" s="237" t="s">
        <v>37</v>
      </c>
      <c r="B1" s="238"/>
      <c r="C1" s="88"/>
    </row>
    <row r="2" spans="1:16">
      <c r="A2" s="237" t="s">
        <v>38</v>
      </c>
      <c r="B2" s="238"/>
      <c r="C2" s="89" t="s">
        <v>39</v>
      </c>
      <c r="D2" s="213" t="s">
        <v>5</v>
      </c>
      <c r="E2" s="239"/>
      <c r="F2" s="214"/>
      <c r="G2" s="213" t="s">
        <v>12</v>
      </c>
      <c r="H2" s="239"/>
      <c r="I2" s="112" t="s">
        <v>20</v>
      </c>
      <c r="J2" s="240" t="s">
        <v>521</v>
      </c>
      <c r="K2" s="241"/>
      <c r="L2" s="111"/>
      <c r="M2" s="111"/>
      <c r="N2" s="111"/>
      <c r="O2" s="111"/>
      <c r="P2" s="111"/>
    </row>
    <row r="3" spans="1:16">
      <c r="A3" s="86"/>
      <c r="B3" s="87"/>
      <c r="C3" s="92"/>
      <c r="D3" s="91" t="s">
        <v>41</v>
      </c>
      <c r="E3" s="91" t="s">
        <v>42</v>
      </c>
      <c r="F3" s="91" t="s">
        <v>43</v>
      </c>
      <c r="G3" s="91" t="s">
        <v>41</v>
      </c>
      <c r="H3" s="91" t="s">
        <v>42</v>
      </c>
      <c r="I3" s="112" t="s">
        <v>50</v>
      </c>
      <c r="J3" s="207" t="s">
        <v>527</v>
      </c>
      <c r="K3" s="207" t="s">
        <v>528</v>
      </c>
      <c r="L3" s="111"/>
      <c r="M3" s="111"/>
      <c r="N3" s="111"/>
      <c r="O3" s="111"/>
      <c r="P3" s="111"/>
    </row>
    <row r="4" spans="1:16" ht="60" customHeight="1">
      <c r="A4" s="232" t="s">
        <v>271</v>
      </c>
      <c r="B4" s="93" t="s">
        <v>328</v>
      </c>
      <c r="D4" s="94" t="s">
        <v>329</v>
      </c>
      <c r="E4" s="95" t="s">
        <v>330</v>
      </c>
      <c r="F4" s="94" t="s">
        <v>331</v>
      </c>
      <c r="G4" s="94" t="s">
        <v>332</v>
      </c>
      <c r="H4" s="94" t="s">
        <v>333</v>
      </c>
      <c r="I4" s="113" t="s">
        <v>334</v>
      </c>
      <c r="J4" s="114" t="s">
        <v>522</v>
      </c>
      <c r="K4" s="114" t="s">
        <v>523</v>
      </c>
      <c r="L4" s="97"/>
      <c r="M4" s="97"/>
      <c r="N4" s="97"/>
      <c r="O4" s="97"/>
      <c r="P4" s="97"/>
    </row>
    <row r="5" spans="1:16" ht="36">
      <c r="A5" s="233"/>
      <c r="B5" s="93" t="s">
        <v>298</v>
      </c>
      <c r="C5" s="96"/>
      <c r="D5" s="95" t="s">
        <v>335</v>
      </c>
      <c r="E5" s="95" t="s">
        <v>335</v>
      </c>
      <c r="F5" s="97" t="s">
        <v>336</v>
      </c>
      <c r="G5" s="95" t="s">
        <v>337</v>
      </c>
      <c r="H5" s="95" t="s">
        <v>337</v>
      </c>
      <c r="I5" s="113" t="s">
        <v>338</v>
      </c>
      <c r="J5" s="114" t="s">
        <v>524</v>
      </c>
      <c r="K5" s="114" t="s">
        <v>524</v>
      </c>
      <c r="L5" s="97"/>
      <c r="M5" s="97"/>
      <c r="N5" s="97"/>
      <c r="O5" s="97"/>
      <c r="P5" s="97"/>
    </row>
    <row r="6" spans="1:16">
      <c r="A6" s="234"/>
      <c r="B6" s="93" t="s">
        <v>339</v>
      </c>
      <c r="C6" s="96"/>
      <c r="D6" s="94" t="s">
        <v>340</v>
      </c>
      <c r="E6" s="94" t="s">
        <v>340</v>
      </c>
      <c r="F6" s="94" t="s">
        <v>341</v>
      </c>
      <c r="G6" s="94" t="s">
        <v>342</v>
      </c>
      <c r="H6" s="94" t="s">
        <v>342</v>
      </c>
      <c r="I6" s="114" t="s">
        <v>342</v>
      </c>
      <c r="J6" s="114" t="s">
        <v>525</v>
      </c>
      <c r="K6" s="114" t="s">
        <v>526</v>
      </c>
      <c r="L6" s="97"/>
      <c r="M6" s="97"/>
      <c r="N6" s="97"/>
      <c r="O6" s="97"/>
      <c r="P6" s="97"/>
    </row>
    <row r="7" spans="1:16">
      <c r="A7" s="98"/>
      <c r="B7" s="93"/>
      <c r="C7" s="96"/>
      <c r="D7" s="97"/>
      <c r="E7" s="97"/>
      <c r="F7" s="97"/>
      <c r="G7" s="97"/>
      <c r="H7" s="97"/>
      <c r="I7" s="113"/>
      <c r="J7" s="97"/>
      <c r="K7" s="97"/>
      <c r="L7" s="97"/>
      <c r="M7" s="97"/>
      <c r="N7" s="97"/>
      <c r="O7" s="97"/>
      <c r="P7" s="97"/>
    </row>
    <row r="8" spans="1:16">
      <c r="A8" s="98"/>
      <c r="B8" s="93"/>
      <c r="C8" s="96"/>
      <c r="D8" s="97"/>
      <c r="E8" s="97"/>
      <c r="F8" s="97"/>
      <c r="G8" s="97"/>
      <c r="H8" s="97"/>
      <c r="I8" s="113"/>
      <c r="J8" s="97"/>
      <c r="K8" s="97"/>
      <c r="L8" s="97"/>
      <c r="M8" s="97"/>
      <c r="N8" s="97"/>
      <c r="O8" s="97"/>
      <c r="P8" s="97"/>
    </row>
    <row r="9" spans="1:16">
      <c r="A9" s="98"/>
      <c r="B9" s="93"/>
      <c r="C9" s="96"/>
      <c r="D9" s="97"/>
      <c r="E9" s="97"/>
      <c r="F9" s="97"/>
      <c r="G9" s="97"/>
      <c r="H9" s="97"/>
      <c r="I9" s="113"/>
      <c r="J9" s="97"/>
      <c r="K9" s="97"/>
      <c r="L9" s="97"/>
      <c r="M9" s="97"/>
      <c r="N9" s="97"/>
      <c r="O9" s="97"/>
      <c r="P9" s="97"/>
    </row>
    <row r="10" spans="1:16" ht="60" customHeight="1">
      <c r="A10" s="98"/>
      <c r="B10" s="99"/>
      <c r="C10" s="100"/>
      <c r="D10" s="97"/>
      <c r="E10" s="97"/>
      <c r="F10" s="97"/>
      <c r="G10" s="97"/>
      <c r="H10" s="97"/>
      <c r="I10" s="113"/>
      <c r="J10" s="97"/>
      <c r="K10" s="97"/>
      <c r="L10" s="97"/>
      <c r="M10" s="97"/>
      <c r="N10" s="97"/>
      <c r="O10" s="97"/>
      <c r="P10" s="97"/>
    </row>
    <row r="11" spans="1:16" ht="58.5" customHeight="1">
      <c r="A11" s="98"/>
      <c r="B11" s="99"/>
      <c r="C11" s="100"/>
      <c r="D11" s="97"/>
      <c r="E11" s="97"/>
      <c r="F11" s="97"/>
      <c r="G11" s="97"/>
      <c r="H11" s="97"/>
      <c r="I11" s="97"/>
      <c r="J11" s="97"/>
      <c r="K11" s="97"/>
      <c r="L11" s="97"/>
      <c r="M11" s="97"/>
      <c r="N11" s="97"/>
      <c r="O11" s="97"/>
      <c r="P11" s="97"/>
    </row>
    <row r="12" spans="1:16">
      <c r="A12" s="98"/>
      <c r="B12" s="93"/>
      <c r="C12" s="96"/>
      <c r="D12" s="97"/>
      <c r="F12" s="97"/>
      <c r="G12" s="97"/>
      <c r="H12" s="97"/>
      <c r="I12" s="97"/>
      <c r="J12" s="97"/>
      <c r="K12" s="97"/>
      <c r="L12" s="97"/>
      <c r="M12" s="97"/>
      <c r="N12" s="97"/>
      <c r="O12" s="97"/>
      <c r="P12" s="97"/>
    </row>
    <row r="13" spans="1:16">
      <c r="A13" s="98"/>
      <c r="B13" s="93"/>
      <c r="C13" s="96"/>
      <c r="D13" s="97"/>
      <c r="E13" s="97"/>
      <c r="F13" s="97"/>
      <c r="G13" s="97"/>
      <c r="H13" s="97"/>
      <c r="I13" s="97"/>
      <c r="J13" s="97"/>
      <c r="K13" s="97"/>
      <c r="L13" s="97"/>
      <c r="M13" s="97"/>
      <c r="N13" s="97"/>
      <c r="O13" s="97"/>
      <c r="P13" s="97"/>
    </row>
    <row r="14" spans="1:16">
      <c r="A14" s="98"/>
      <c r="B14" s="93"/>
      <c r="C14" s="96"/>
      <c r="D14" s="97"/>
      <c r="E14" s="97"/>
      <c r="F14" s="97"/>
      <c r="G14" s="97"/>
      <c r="H14" s="97"/>
      <c r="I14" s="97"/>
      <c r="J14" s="97"/>
      <c r="K14" s="97"/>
      <c r="L14" s="97"/>
      <c r="M14" s="97"/>
      <c r="N14" s="97"/>
      <c r="O14" s="97"/>
      <c r="P14" s="97"/>
    </row>
    <row r="15" spans="1:16" ht="24.75" customHeight="1">
      <c r="A15" s="98"/>
      <c r="B15" s="101"/>
      <c r="C15" s="96"/>
      <c r="D15" s="97"/>
      <c r="E15" s="97"/>
      <c r="F15" s="97"/>
      <c r="G15" s="97"/>
      <c r="H15" s="97"/>
      <c r="I15" s="97"/>
      <c r="J15" s="97"/>
      <c r="K15" s="97"/>
      <c r="L15" s="97"/>
      <c r="M15" s="97"/>
      <c r="N15" s="97"/>
      <c r="O15" s="97"/>
      <c r="P15" s="97"/>
    </row>
    <row r="16" spans="1:16">
      <c r="A16" s="98"/>
      <c r="B16" s="102"/>
      <c r="C16" s="102"/>
      <c r="D16" s="97"/>
      <c r="E16" s="97"/>
      <c r="F16" s="97"/>
      <c r="G16" s="97"/>
      <c r="H16" s="97"/>
      <c r="I16" s="97"/>
      <c r="J16" s="97"/>
      <c r="K16" s="97"/>
      <c r="L16" s="97"/>
      <c r="M16" s="97"/>
      <c r="N16" s="97"/>
      <c r="O16" s="97"/>
      <c r="P16" s="97"/>
    </row>
    <row r="17" spans="1:16">
      <c r="A17" s="98"/>
      <c r="B17" s="103"/>
      <c r="C17" s="104"/>
      <c r="D17" s="97"/>
      <c r="E17" s="97"/>
      <c r="F17" s="97"/>
      <c r="G17" s="97"/>
      <c r="H17" s="97"/>
      <c r="I17" s="97"/>
      <c r="J17" s="97"/>
      <c r="K17" s="97"/>
      <c r="L17" s="97"/>
      <c r="M17" s="97"/>
      <c r="N17" s="97"/>
      <c r="O17" s="97"/>
      <c r="P17" s="97"/>
    </row>
    <row r="18" spans="1:16">
      <c r="A18" s="98"/>
      <c r="B18" s="105"/>
      <c r="C18" s="104"/>
      <c r="D18" s="97"/>
      <c r="E18" s="97"/>
      <c r="F18" s="97"/>
      <c r="G18" s="97"/>
      <c r="H18" s="97"/>
      <c r="I18" s="97"/>
      <c r="J18" s="97"/>
      <c r="K18" s="97"/>
      <c r="L18" s="97"/>
      <c r="M18" s="97"/>
      <c r="N18" s="97"/>
      <c r="O18" s="97"/>
      <c r="P18" s="97"/>
    </row>
    <row r="19" spans="1:16">
      <c r="A19" s="98"/>
      <c r="B19" s="105"/>
      <c r="C19" s="104"/>
      <c r="D19" s="97"/>
      <c r="E19" s="97"/>
      <c r="F19" s="97"/>
      <c r="G19" s="97"/>
      <c r="H19" s="97"/>
      <c r="I19" s="97"/>
      <c r="J19" s="97"/>
      <c r="K19" s="97"/>
      <c r="L19" s="97"/>
      <c r="M19" s="97"/>
      <c r="N19" s="97"/>
      <c r="O19" s="97"/>
      <c r="P19" s="97"/>
    </row>
    <row r="20" spans="1:16">
      <c r="A20" s="98"/>
      <c r="B20" s="105"/>
      <c r="C20" s="104"/>
      <c r="D20" s="97"/>
      <c r="E20" s="97"/>
      <c r="F20" s="97"/>
      <c r="G20" s="97"/>
      <c r="H20" s="97"/>
      <c r="I20" s="97"/>
      <c r="J20" s="97"/>
      <c r="K20" s="97"/>
      <c r="L20" s="97"/>
      <c r="M20" s="97"/>
      <c r="N20" s="97"/>
      <c r="O20" s="97"/>
      <c r="P20" s="97"/>
    </row>
    <row r="21" spans="1:16">
      <c r="B21" s="106"/>
      <c r="C21" s="104"/>
      <c r="D21" s="97"/>
      <c r="E21" s="97"/>
      <c r="F21" s="97"/>
      <c r="G21" s="97"/>
      <c r="H21" s="97"/>
      <c r="I21" s="97"/>
      <c r="J21" s="97"/>
      <c r="K21" s="97"/>
      <c r="L21" s="97"/>
      <c r="M21" s="97"/>
      <c r="N21" s="97"/>
      <c r="O21" s="97"/>
      <c r="P21" s="97"/>
    </row>
    <row r="22" spans="1:16">
      <c r="B22" s="106"/>
      <c r="C22" s="107"/>
      <c r="D22" s="97"/>
      <c r="E22" s="97"/>
      <c r="F22" s="97"/>
      <c r="G22" s="97"/>
      <c r="H22" s="97"/>
      <c r="I22" s="97"/>
      <c r="J22" s="97"/>
      <c r="K22" s="97"/>
      <c r="L22" s="97"/>
      <c r="M22" s="97"/>
      <c r="N22" s="97"/>
      <c r="O22" s="97"/>
      <c r="P22" s="97"/>
    </row>
    <row r="23" spans="1:16">
      <c r="B23" s="100"/>
      <c r="C23" s="104"/>
      <c r="D23" s="97"/>
      <c r="E23" s="97"/>
      <c r="F23" s="97"/>
      <c r="G23" s="97"/>
      <c r="H23" s="97"/>
      <c r="I23" s="97"/>
      <c r="J23" s="97"/>
      <c r="K23" s="97"/>
      <c r="L23" s="97"/>
      <c r="M23" s="97"/>
      <c r="N23" s="97"/>
      <c r="O23" s="97"/>
      <c r="P23" s="97"/>
    </row>
    <row r="24" spans="1:16">
      <c r="B24" s="236"/>
      <c r="C24" s="104"/>
      <c r="D24" s="97"/>
      <c r="E24" s="97"/>
      <c r="F24" s="97"/>
      <c r="G24" s="97"/>
      <c r="H24" s="97"/>
      <c r="I24" s="97"/>
      <c r="J24" s="97"/>
      <c r="K24" s="97"/>
      <c r="L24" s="97"/>
      <c r="M24" s="97"/>
      <c r="N24" s="97"/>
      <c r="O24" s="97"/>
      <c r="P24" s="97"/>
    </row>
    <row r="25" spans="1:16">
      <c r="B25" s="236"/>
      <c r="C25" s="104"/>
      <c r="D25" s="97"/>
      <c r="E25" s="97"/>
      <c r="F25" s="97"/>
      <c r="G25" s="97"/>
      <c r="H25" s="97"/>
      <c r="I25" s="97"/>
      <c r="J25" s="97"/>
      <c r="K25" s="97"/>
      <c r="L25" s="97"/>
      <c r="M25" s="97"/>
      <c r="N25" s="97"/>
      <c r="O25" s="97"/>
      <c r="P25" s="97"/>
    </row>
    <row r="26" spans="1:16">
      <c r="B26" s="106"/>
      <c r="C26" s="104"/>
      <c r="D26" s="97"/>
      <c r="E26" s="97"/>
      <c r="F26" s="97"/>
      <c r="G26" s="97"/>
      <c r="H26" s="97"/>
      <c r="I26" s="97"/>
      <c r="J26" s="97"/>
      <c r="K26" s="97"/>
      <c r="L26" s="97"/>
      <c r="M26" s="97"/>
      <c r="N26" s="97"/>
      <c r="O26" s="97"/>
      <c r="P26" s="97"/>
    </row>
    <row r="27" spans="1:16">
      <c r="B27" s="106"/>
      <c r="C27" s="108"/>
      <c r="D27" s="97"/>
      <c r="E27" s="97"/>
      <c r="F27" s="97"/>
      <c r="G27" s="97"/>
      <c r="H27" s="97"/>
      <c r="I27" s="97"/>
      <c r="J27" s="97"/>
      <c r="K27" s="97"/>
      <c r="L27" s="97"/>
      <c r="M27" s="97"/>
      <c r="N27" s="97"/>
      <c r="O27" s="97"/>
      <c r="P27" s="97"/>
    </row>
    <row r="28" spans="1:16">
      <c r="B28" s="106"/>
      <c r="C28" s="104"/>
      <c r="D28" s="97"/>
      <c r="E28" s="97"/>
      <c r="F28" s="97"/>
      <c r="G28" s="97"/>
      <c r="H28" s="97"/>
      <c r="I28" s="97"/>
      <c r="J28" s="97"/>
      <c r="K28" s="97"/>
      <c r="L28" s="97"/>
      <c r="M28" s="97"/>
      <c r="N28" s="97"/>
      <c r="O28" s="97"/>
      <c r="P28" s="97"/>
    </row>
    <row r="29" spans="1:16">
      <c r="B29" s="106"/>
      <c r="C29" s="104"/>
      <c r="D29" s="97"/>
      <c r="E29" s="97"/>
      <c r="F29" s="97"/>
      <c r="G29" s="97"/>
      <c r="H29" s="97"/>
      <c r="I29" s="97"/>
      <c r="J29" s="97"/>
      <c r="K29" s="97"/>
      <c r="L29" s="97"/>
      <c r="M29" s="97"/>
      <c r="N29" s="97"/>
      <c r="O29" s="97"/>
      <c r="P29" s="97"/>
    </row>
    <row r="30" spans="1:16">
      <c r="B30" s="236"/>
      <c r="C30" s="212"/>
      <c r="D30" s="97"/>
      <c r="E30" s="97"/>
      <c r="F30" s="97"/>
      <c r="G30" s="97"/>
      <c r="H30" s="97"/>
      <c r="I30" s="97"/>
      <c r="J30" s="97"/>
      <c r="K30" s="97"/>
      <c r="L30" s="97"/>
      <c r="M30" s="97"/>
      <c r="N30" s="97"/>
      <c r="O30" s="97"/>
      <c r="P30" s="97"/>
    </row>
    <row r="31" spans="1:16">
      <c r="B31" s="236"/>
      <c r="C31" s="212"/>
      <c r="D31" s="97"/>
      <c r="E31" s="97"/>
      <c r="F31" s="97"/>
      <c r="G31" s="97"/>
      <c r="H31" s="97"/>
      <c r="I31" s="97"/>
      <c r="J31" s="97"/>
      <c r="K31" s="97"/>
      <c r="L31" s="97"/>
      <c r="M31" s="97"/>
      <c r="N31" s="97"/>
      <c r="O31" s="97"/>
      <c r="P31" s="97"/>
    </row>
    <row r="32" spans="1:16">
      <c r="B32" s="106"/>
      <c r="C32" s="104"/>
      <c r="D32" s="97"/>
      <c r="E32" s="97"/>
      <c r="F32" s="97"/>
      <c r="G32" s="97"/>
      <c r="H32" s="97"/>
      <c r="I32" s="97"/>
      <c r="J32" s="97"/>
      <c r="K32" s="97"/>
      <c r="L32" s="97"/>
      <c r="M32" s="97"/>
      <c r="N32" s="97"/>
      <c r="O32" s="97"/>
      <c r="P32" s="97"/>
    </row>
    <row r="33" spans="2:16">
      <c r="B33" s="106"/>
      <c r="C33" s="104"/>
      <c r="D33" s="97"/>
      <c r="E33" s="97"/>
      <c r="F33" s="97"/>
      <c r="G33" s="97"/>
      <c r="H33" s="97"/>
      <c r="I33" s="97"/>
      <c r="J33" s="97"/>
      <c r="K33" s="97"/>
      <c r="L33" s="97"/>
      <c r="M33" s="97"/>
      <c r="N33" s="97"/>
      <c r="O33" s="97"/>
      <c r="P33" s="97"/>
    </row>
    <row r="34" spans="2:16">
      <c r="B34" s="106"/>
      <c r="C34" s="104"/>
      <c r="D34" s="97"/>
      <c r="E34" s="97"/>
      <c r="F34" s="97"/>
      <c r="G34" s="97"/>
      <c r="H34" s="97"/>
      <c r="I34" s="97"/>
      <c r="J34" s="97"/>
      <c r="K34" s="97"/>
      <c r="L34" s="97"/>
      <c r="M34" s="97"/>
      <c r="N34" s="97"/>
      <c r="O34" s="97"/>
      <c r="P34" s="97"/>
    </row>
    <row r="35" spans="2:16">
      <c r="B35" s="106"/>
      <c r="C35" s="109"/>
      <c r="D35" s="97"/>
      <c r="E35" s="97"/>
      <c r="F35" s="97"/>
      <c r="G35" s="97"/>
      <c r="H35" s="97"/>
      <c r="I35" s="97"/>
      <c r="J35" s="97"/>
      <c r="K35" s="97"/>
      <c r="L35" s="97"/>
      <c r="M35" s="97"/>
      <c r="N35" s="97"/>
      <c r="O35" s="97"/>
      <c r="P35" s="97"/>
    </row>
    <row r="36" spans="2:16">
      <c r="B36" s="106"/>
      <c r="C36" s="107"/>
      <c r="D36" s="97"/>
      <c r="E36" s="97"/>
      <c r="F36" s="97"/>
      <c r="G36" s="97"/>
      <c r="H36" s="97"/>
      <c r="I36" s="97"/>
      <c r="J36" s="97"/>
      <c r="K36" s="97"/>
      <c r="L36" s="97"/>
      <c r="M36" s="97"/>
      <c r="N36" s="97"/>
      <c r="O36" s="97"/>
      <c r="P36" s="97"/>
    </row>
    <row r="37" spans="2:16">
      <c r="B37" s="106"/>
      <c r="C37" s="110"/>
      <c r="D37" s="97"/>
      <c r="E37" s="97"/>
      <c r="F37" s="97"/>
      <c r="G37" s="97"/>
      <c r="H37" s="97"/>
      <c r="I37" s="97"/>
      <c r="J37" s="97"/>
      <c r="K37" s="97"/>
      <c r="L37" s="97"/>
      <c r="M37" s="97"/>
      <c r="N37" s="97"/>
      <c r="O37" s="97"/>
      <c r="P37" s="97"/>
    </row>
    <row r="38" spans="2:16">
      <c r="B38" s="106"/>
      <c r="C38" s="108"/>
      <c r="D38" s="97"/>
      <c r="E38" s="97"/>
      <c r="F38" s="97"/>
      <c r="G38" s="97"/>
      <c r="H38" s="97"/>
      <c r="I38" s="97"/>
      <c r="J38" s="97"/>
      <c r="K38" s="97"/>
      <c r="L38" s="97"/>
      <c r="M38" s="97"/>
      <c r="N38" s="97"/>
      <c r="O38" s="97"/>
      <c r="P38" s="97"/>
    </row>
    <row r="39" spans="2:16">
      <c r="B39" s="106"/>
      <c r="C39" s="104"/>
      <c r="D39" s="97"/>
      <c r="E39" s="97"/>
      <c r="F39" s="97"/>
      <c r="G39" s="97"/>
      <c r="H39" s="97"/>
      <c r="I39" s="97"/>
      <c r="J39" s="97"/>
      <c r="K39" s="97"/>
      <c r="L39" s="97"/>
      <c r="M39" s="97"/>
      <c r="N39" s="97"/>
      <c r="O39" s="97"/>
      <c r="P39" s="97"/>
    </row>
    <row r="40" spans="2:16">
      <c r="B40" s="236"/>
      <c r="C40" s="104"/>
      <c r="D40" s="97"/>
      <c r="E40" s="97"/>
      <c r="F40" s="97"/>
      <c r="G40" s="97"/>
      <c r="H40" s="97"/>
      <c r="I40" s="97"/>
      <c r="J40" s="97"/>
      <c r="K40" s="97"/>
      <c r="L40" s="97"/>
      <c r="M40" s="97"/>
      <c r="N40" s="97"/>
      <c r="O40" s="97"/>
      <c r="P40" s="97"/>
    </row>
    <row r="41" spans="2:16">
      <c r="B41" s="236"/>
      <c r="C41" s="104"/>
      <c r="D41" s="97"/>
      <c r="E41" s="97"/>
      <c r="F41" s="97"/>
      <c r="G41" s="97"/>
      <c r="H41" s="97"/>
      <c r="I41" s="97"/>
      <c r="J41" s="97"/>
      <c r="K41" s="97"/>
      <c r="L41" s="97"/>
      <c r="M41" s="97"/>
      <c r="N41" s="97"/>
      <c r="O41" s="97"/>
      <c r="P41" s="97"/>
    </row>
    <row r="42" spans="2:16">
      <c r="B42" s="236"/>
      <c r="C42" s="104"/>
      <c r="D42" s="97"/>
      <c r="E42" s="97"/>
      <c r="F42" s="97"/>
      <c r="G42" s="97"/>
      <c r="H42" s="97"/>
      <c r="I42" s="97"/>
      <c r="J42" s="97"/>
      <c r="K42" s="97"/>
      <c r="L42" s="97"/>
      <c r="M42" s="97"/>
      <c r="N42" s="97"/>
      <c r="O42" s="97"/>
      <c r="P42" s="97"/>
    </row>
    <row r="43" spans="2:16">
      <c r="B43" s="236"/>
      <c r="C43" s="104"/>
      <c r="D43" s="97"/>
      <c r="E43" s="97"/>
      <c r="F43" s="97"/>
      <c r="G43" s="97"/>
      <c r="H43" s="97"/>
      <c r="I43" s="97"/>
      <c r="J43" s="97"/>
      <c r="K43" s="97"/>
      <c r="L43" s="97"/>
      <c r="M43" s="97"/>
      <c r="N43" s="97"/>
      <c r="O43" s="97"/>
      <c r="P43" s="97"/>
    </row>
    <row r="44" spans="2:16">
      <c r="B44" s="229"/>
      <c r="C44" s="212"/>
      <c r="D44" s="97"/>
      <c r="E44" s="97"/>
      <c r="F44" s="97"/>
      <c r="G44" s="97"/>
      <c r="H44" s="97"/>
      <c r="I44" s="97"/>
      <c r="J44" s="97"/>
      <c r="K44" s="97"/>
      <c r="L44" s="97"/>
      <c r="M44" s="97"/>
      <c r="N44" s="97"/>
      <c r="O44" s="97"/>
      <c r="P44" s="97"/>
    </row>
    <row r="45" spans="2:16">
      <c r="B45" s="229"/>
      <c r="C45" s="212"/>
      <c r="D45" s="97"/>
      <c r="E45" s="97"/>
      <c r="F45" s="97"/>
      <c r="G45" s="97"/>
      <c r="H45" s="97"/>
      <c r="I45" s="97"/>
      <c r="J45" s="97"/>
      <c r="K45" s="97"/>
      <c r="L45" s="97"/>
      <c r="M45" s="97"/>
      <c r="N45" s="97"/>
      <c r="O45" s="97"/>
      <c r="P45" s="97"/>
    </row>
    <row r="46" spans="2:16">
      <c r="B46" s="100"/>
      <c r="C46" s="104"/>
      <c r="D46" s="97"/>
      <c r="E46" s="97"/>
      <c r="F46" s="97"/>
      <c r="G46" s="97"/>
      <c r="H46" s="97"/>
      <c r="I46" s="97"/>
      <c r="J46" s="97"/>
      <c r="K46" s="97"/>
      <c r="L46" s="97"/>
      <c r="M46" s="97"/>
      <c r="N46" s="97"/>
      <c r="O46" s="97"/>
      <c r="P46" s="97"/>
    </row>
    <row r="47" spans="2:16">
      <c r="B47" s="100"/>
      <c r="C47" s="104"/>
      <c r="D47" s="97"/>
      <c r="E47" s="97"/>
      <c r="F47" s="97"/>
      <c r="G47" s="97"/>
      <c r="H47" s="97"/>
      <c r="I47" s="97"/>
      <c r="J47" s="97"/>
      <c r="K47" s="97"/>
      <c r="L47" s="97"/>
      <c r="M47" s="97"/>
      <c r="N47" s="97"/>
      <c r="O47" s="97"/>
      <c r="P47" s="97"/>
    </row>
    <row r="48" spans="2:16">
      <c r="B48" s="100"/>
      <c r="C48" s="104"/>
      <c r="D48" s="97"/>
      <c r="E48" s="97"/>
      <c r="F48" s="97"/>
      <c r="G48" s="97"/>
      <c r="H48" s="97"/>
      <c r="I48" s="97"/>
      <c r="J48" s="97"/>
      <c r="K48" s="97"/>
      <c r="L48" s="97"/>
      <c r="M48" s="97"/>
      <c r="N48" s="97"/>
      <c r="O48" s="97"/>
      <c r="P48" s="97"/>
    </row>
    <row r="49" spans="2:16">
      <c r="B49" s="100"/>
      <c r="C49" s="108"/>
      <c r="D49" s="97"/>
      <c r="E49" s="97"/>
      <c r="F49" s="97"/>
      <c r="G49" s="97"/>
      <c r="H49" s="97"/>
      <c r="I49" s="97"/>
      <c r="J49" s="97"/>
      <c r="K49" s="97"/>
      <c r="L49" s="97"/>
      <c r="M49" s="97"/>
      <c r="N49" s="97"/>
      <c r="O49" s="97"/>
      <c r="P49" s="97"/>
    </row>
    <row r="50" spans="2:16" ht="14.25" customHeight="1">
      <c r="B50" s="215"/>
      <c r="C50" s="212"/>
      <c r="D50" s="97"/>
      <c r="E50" s="97"/>
      <c r="F50" s="97"/>
      <c r="G50" s="97"/>
      <c r="H50" s="97"/>
      <c r="I50" s="97"/>
      <c r="J50" s="97"/>
      <c r="K50" s="97"/>
      <c r="L50" s="97"/>
      <c r="M50" s="97"/>
      <c r="N50" s="97"/>
      <c r="O50" s="97"/>
      <c r="P50" s="97"/>
    </row>
    <row r="51" spans="2:16">
      <c r="B51" s="215"/>
      <c r="C51" s="212"/>
      <c r="D51" s="97"/>
      <c r="E51" s="97"/>
      <c r="F51" s="97"/>
      <c r="G51" s="97"/>
      <c r="H51" s="97"/>
      <c r="I51" s="97"/>
      <c r="J51" s="97"/>
      <c r="K51" s="97"/>
      <c r="L51" s="97"/>
      <c r="M51" s="97"/>
      <c r="N51" s="97"/>
      <c r="O51" s="97"/>
      <c r="P51" s="97"/>
    </row>
    <row r="52" spans="2:16">
      <c r="B52" s="100"/>
      <c r="C52" s="104"/>
      <c r="D52" s="97"/>
      <c r="E52" s="97"/>
      <c r="F52" s="97"/>
      <c r="G52" s="97"/>
      <c r="H52" s="97"/>
      <c r="I52" s="97"/>
      <c r="J52" s="97"/>
      <c r="K52" s="97"/>
      <c r="L52" s="97"/>
      <c r="M52" s="97"/>
      <c r="N52" s="97"/>
      <c r="O52" s="97"/>
      <c r="P52" s="97"/>
    </row>
    <row r="53" spans="2:16">
      <c r="B53" s="100"/>
      <c r="C53" s="104"/>
      <c r="D53" s="97"/>
      <c r="E53" s="97"/>
      <c r="F53" s="97"/>
      <c r="G53" s="97"/>
      <c r="H53" s="97"/>
      <c r="I53" s="97"/>
      <c r="J53" s="97"/>
      <c r="K53" s="97"/>
      <c r="L53" s="97"/>
      <c r="M53" s="97"/>
      <c r="N53" s="97"/>
      <c r="O53" s="97"/>
      <c r="P53" s="97"/>
    </row>
    <row r="54" spans="2:16">
      <c r="B54" s="100"/>
      <c r="C54" s="104"/>
      <c r="D54" s="97"/>
      <c r="E54" s="97"/>
      <c r="F54" s="97"/>
      <c r="G54" s="97"/>
      <c r="H54" s="97"/>
      <c r="I54" s="97"/>
      <c r="J54" s="97"/>
      <c r="K54" s="97"/>
      <c r="L54" s="97"/>
      <c r="M54" s="97"/>
      <c r="N54" s="97"/>
      <c r="O54" s="97"/>
      <c r="P54" s="97"/>
    </row>
    <row r="55" spans="2:16">
      <c r="B55" s="100"/>
      <c r="C55" s="104"/>
      <c r="D55" s="97"/>
      <c r="E55" s="97"/>
      <c r="F55" s="97"/>
      <c r="G55" s="97"/>
      <c r="H55" s="97"/>
      <c r="I55" s="97"/>
      <c r="J55" s="97"/>
      <c r="K55" s="97"/>
      <c r="L55" s="97"/>
      <c r="M55" s="97"/>
      <c r="N55" s="97"/>
      <c r="O55" s="97"/>
      <c r="P55" s="97"/>
    </row>
    <row r="56" spans="2:16">
      <c r="B56" s="100"/>
      <c r="C56" s="104"/>
      <c r="D56" s="97"/>
      <c r="E56" s="97"/>
      <c r="F56" s="97"/>
      <c r="G56" s="97"/>
      <c r="H56" s="97"/>
      <c r="I56" s="97"/>
      <c r="J56" s="97"/>
      <c r="K56" s="97"/>
      <c r="L56" s="97"/>
      <c r="M56" s="97"/>
      <c r="N56" s="97"/>
      <c r="O56" s="97"/>
      <c r="P56" s="97"/>
    </row>
    <row r="57" spans="2:16">
      <c r="B57" s="100"/>
      <c r="C57" s="104"/>
      <c r="D57" s="97"/>
      <c r="E57" s="97"/>
      <c r="F57" s="97"/>
      <c r="G57" s="97"/>
      <c r="H57" s="97"/>
      <c r="I57" s="97"/>
      <c r="J57" s="97"/>
      <c r="K57" s="97"/>
      <c r="L57" s="97"/>
      <c r="M57" s="97"/>
      <c r="N57" s="97"/>
      <c r="O57" s="97"/>
      <c r="P57" s="97"/>
    </row>
    <row r="58" spans="2:16">
      <c r="B58" s="100"/>
      <c r="C58" s="104"/>
      <c r="D58" s="97"/>
      <c r="E58" s="97"/>
      <c r="F58" s="97"/>
      <c r="G58" s="97"/>
      <c r="H58" s="97"/>
      <c r="I58" s="97"/>
      <c r="J58" s="97"/>
      <c r="K58" s="97"/>
      <c r="L58" s="97"/>
      <c r="M58" s="97"/>
      <c r="N58" s="97"/>
      <c r="O58" s="97"/>
      <c r="P58" s="97"/>
    </row>
    <row r="59" spans="2:16">
      <c r="B59" s="100"/>
      <c r="C59" s="104"/>
      <c r="D59" s="97"/>
      <c r="E59" s="97"/>
      <c r="F59" s="97"/>
      <c r="G59" s="97"/>
      <c r="H59" s="97"/>
      <c r="I59" s="97"/>
      <c r="J59" s="97"/>
      <c r="K59" s="97"/>
      <c r="L59" s="97"/>
      <c r="M59" s="97"/>
      <c r="N59" s="97"/>
      <c r="O59" s="97"/>
      <c r="P59" s="97"/>
    </row>
    <row r="60" spans="2:16">
      <c r="B60" s="100"/>
      <c r="C60" s="108"/>
      <c r="I60" s="97"/>
    </row>
    <row r="61" spans="2:16">
      <c r="I61" s="97"/>
    </row>
    <row r="62" spans="2:16">
      <c r="I62" s="97"/>
    </row>
    <row r="63" spans="2:16">
      <c r="I63" s="97"/>
    </row>
  </sheetData>
  <mergeCells count="14">
    <mergeCell ref="J2:K2"/>
    <mergeCell ref="A1:B1"/>
    <mergeCell ref="A2:B2"/>
    <mergeCell ref="D2:F2"/>
    <mergeCell ref="G2:H2"/>
    <mergeCell ref="A4:A6"/>
    <mergeCell ref="C30:C31"/>
    <mergeCell ref="C44:C45"/>
    <mergeCell ref="C50:C51"/>
    <mergeCell ref="B24:B25"/>
    <mergeCell ref="B30:B31"/>
    <mergeCell ref="B40:B43"/>
    <mergeCell ref="B44:B45"/>
    <mergeCell ref="B50:B51"/>
  </mergeCells>
  <phoneticPr fontId="11"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AF9254F916046D47805269FA44C28805" ma:contentTypeVersion="11" ma:contentTypeDescription="新建文档。" ma:contentTypeScope="" ma:versionID="8e552e9faad47e1ac1cd93d3d0d27245">
  <xsd:schema xmlns:xsd="http://www.w3.org/2001/XMLSchema" xmlns:xs="http://www.w3.org/2001/XMLSchema" xmlns:p="http://schemas.microsoft.com/office/2006/metadata/properties" xmlns:ns2="25a9b192-4ffd-45fe-9f9b-78d47ef7d08b" xmlns:ns3="887e1eb4-d705-45f4-998c-aa955aed8a7f" targetNamespace="http://schemas.microsoft.com/office/2006/metadata/properties" ma:root="true" ma:fieldsID="7ea357d1f358b868c7854abeba98cd03" ns2:_="" ns3:_="">
    <xsd:import namespace="25a9b192-4ffd-45fe-9f9b-78d47ef7d08b"/>
    <xsd:import namespace="887e1eb4-d705-45f4-998c-aa955aed8a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9b192-4ffd-45fe-9f9b-78d47ef7d08b" elementFormDefault="qualified">
    <xsd:import namespace="http://schemas.microsoft.com/office/2006/documentManagement/types"/>
    <xsd:import namespace="http://schemas.microsoft.com/office/infopath/2007/PartnerControls"/>
    <xsd:element name="SharedWithUsers" ma:index="8" nillable="true" ma:displayName="共享对象:"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享对象详细信息" ma:description="" ma:internalName="SharedWithDetails" ma:readOnly="true">
      <xsd:simpleType>
        <xsd:restriction base="dms:Note">
          <xsd:maxLength value="255"/>
        </xsd:restriction>
      </xsd:simpleType>
    </xsd:element>
    <xsd:element name="LastSharedByUser" ma:index="10" nillable="true" ma:displayName="上次共享用户" ma:description="" ma:internalName="LastSharedByUser" ma:readOnly="true">
      <xsd:simpleType>
        <xsd:restriction base="dms:Note">
          <xsd:maxLength value="255"/>
        </xsd:restriction>
      </xsd:simpleType>
    </xsd:element>
    <xsd:element name="LastSharedByTime" ma:index="11" nillable="true" ma:displayName="上次共享时间"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87e1eb4-d705-45f4-998c-aa955aed8a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AC80BEB-915D-43B1-9CAD-DCD3B95AF534}">
  <ds:schemaRefs/>
</ds:datastoreItem>
</file>

<file path=customXml/itemProps2.xml><?xml version="1.0" encoding="utf-8"?>
<ds:datastoreItem xmlns:ds="http://schemas.openxmlformats.org/officeDocument/2006/customXml" ds:itemID="{C08F96B6-78AE-4DD6-860D-AF0AE369FECE}">
  <ds:schemaRefs/>
</ds:datastoreItem>
</file>

<file path=customXml/itemProps3.xml><?xml version="1.0" encoding="utf-8"?>
<ds:datastoreItem xmlns:ds="http://schemas.openxmlformats.org/officeDocument/2006/customXml" ds:itemID="{25789EEF-91FB-42B3-A3F2-5A53C39B2814}">
  <ds:schemaRef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 ds:uri="887e1eb4-d705-45f4-998c-aa955aed8a7f"/>
    <ds:schemaRef ds:uri="25a9b192-4ffd-45fe-9f9b-78d47ef7d08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Revision comments</vt:lpstr>
      <vt:lpstr>DL_Para_700MHz</vt:lpstr>
      <vt:lpstr>UL_Para_700MHz</vt:lpstr>
      <vt:lpstr>DL_Para_4GHz</vt:lpstr>
      <vt:lpstr>UL_Para_4GHz</vt:lpstr>
      <vt:lpstr>DL_Para_LMLC</vt:lpstr>
      <vt:lpstr>UL_Para_LMLC</vt:lpstr>
      <vt:lpstr>DL_OH_Para</vt:lpstr>
      <vt:lpstr>UL_OH_Para</vt:lpstr>
      <vt:lpstr>DL_OH</vt:lpstr>
      <vt:lpstr>UL_OH</vt:lpstr>
      <vt:lpstr>Results_700MHz</vt:lpstr>
      <vt:lpstr>Results_4GHz</vt:lpstr>
      <vt:lpstr>Results_LMLC</vt:lpstr>
      <vt:lpstr>Results_700MHz_LargerBW</vt:lpstr>
      <vt:lpstr>Results_4GHz_LargerBW</vt:lpstr>
      <vt:lpstr>Results_LMLC_LargerBW</vt:lpstr>
    </vt:vector>
  </TitlesOfParts>
  <Company>Ericsson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erafura</dc:creator>
  <cp:keywords>CTPClassification=CTP_IC:VisualMarkings=, CTPClassification=CTP_IC</cp:keywords>
  <cp:lastModifiedBy>- ITU -</cp:lastModifiedBy>
  <cp:lastPrinted>2011-08-15T04:23:00Z</cp:lastPrinted>
  <dcterms:created xsi:type="dcterms:W3CDTF">2009-04-02T17:18:00Z</dcterms:created>
  <dcterms:modified xsi:type="dcterms:W3CDTF">2018-10-10T06:32:09Z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NewReviewCycle">
    <vt:lpwstr/>
  </property>
  <property fmtid="{D5CDD505-2E9C-101B-9397-08002B2CF9AE}" pid="5" name="_ms_pID_725343">
    <vt:lpwstr>(3)ndg2hq9+vee9ZpH7NtmS+49bamYLNL7V3rHDIFvLz86GXp9LbdREafClwTNEMYP9z6o6SuU5_x000d_
riAauRvj5BB9BN2g+p0ZN+25KvgVK+sXmXpBkjC1K3xtKZ9dSdV4ubarm8JqGT3dAX33yrma_x000d_
00jB7Khe02XbVBs727JBFgoewPnCMADQuo86JbUuiKIrD96xvq4orXBS6TnzMH56sb+x9RdI_x000d_
s+XWGprl4Z/cH+R0+X</vt:lpwstr>
  </property>
  <property fmtid="{D5CDD505-2E9C-101B-9397-08002B2CF9AE}" pid="6" name="_ms_pID_7253432">
    <vt:lpwstr>5OJGb3f+mH1KzqZbnkYTVAeOjlSdIMeSlRi0_x000d_
T/acmNf7nIMFpuxj6DgIG5q3cKVhyUYcFSQiHVBrrxtrBHIJzns=</vt:lpwstr>
  </property>
  <property fmtid="{D5CDD505-2E9C-101B-9397-08002B2CF9AE}" pid="7" name="_ms_pID_7253431">
    <vt:lpwstr>JlkahCVCgBiAbbK2PRtN4TNI4Cf96TF9zAJtItSRPLOCiVFqgnXNQl_x000d_
0LnhEEKhALHOvwNRoXcsM2ckJ5D13XOkM8P1fLpGrFHRc0CQx1iCAp7/gi5Uz8nOixsjcCfI_x000d_
uoV6NsXdKtrq3EmqW2TT9jfetetwFR0R37eToZoHAhf5dSGLO3tteRe3/x8jUcBIZeKv29k5_x000d_
fPIkAJSS+OMNqGrmUpx/H+JDu4MZHHxAAMkB</vt:lpwstr>
  </property>
  <property fmtid="{D5CDD505-2E9C-101B-9397-08002B2CF9AE}" pid="8" name="_2015_ms_pID_725343">
    <vt:lpwstr>(3)e3VkKhE/3QickDdBqUz0Px95aNNbeIGzbvHy4ETAsIER6NCvJB3DfbQ2x7S13Lv5G+LcYk2i
C9nyU7xu85edcoJEH5zvFK8JHxBNaNSBNT9tEyd603aIrvR8y2qvLmi23Tn+baH2XGRb35OY
PQ+oqwwOQ2q4JrbGWC6siPkmZtc14o++wD0NjNPlLYGmJ38EtUD7VI5B7zegvFPkCYMGKng6
Jz4eYFOYf3E3KoCyOD</vt:lpwstr>
  </property>
  <property fmtid="{D5CDD505-2E9C-101B-9397-08002B2CF9AE}" pid="9" name="_2015_ms_pID_7253431">
    <vt:lpwstr>keV8VufbO+P/Q7o7H3tlN+Vzg2so3kPejMNURoXcpD5z+7riWxx09Y
eOHiASkFavquIBYWMx1A8z+ux2Sf07ga7bz8QhfnsMi+WAQDgToiSHMpk/vSvZw7CMRkOzga
tnCVipwrjfEXbYyAHp94HqlTZ9NxOqOhTvjPJz3R2fjP1ZlKm8w8FnZIEAPAZrTazAhekTu0
GXgWEecsUzcL5jDdhdowqi+y/3dhJJ1TvSSz</vt:lpwstr>
  </property>
  <property fmtid="{D5CDD505-2E9C-101B-9397-08002B2CF9AE}" pid="10" name="_2015_ms_pID_7253432">
    <vt:lpwstr>yGRrs69gtx5ZhT68BWldGJRgo7ghLRS7WHt9
9F5h5XWdiOaCv1fAlZZCoYiD0T/i3495J2sXGBhHNyviyUw4jxc=</vt:lpwstr>
  </property>
  <property fmtid="{D5CDD505-2E9C-101B-9397-08002B2CF9AE}" pid="11" name="ContentTypeId">
    <vt:lpwstr>0x010100AF9254F916046D47805269FA44C28805</vt:lpwstr>
  </property>
  <property fmtid="{D5CDD505-2E9C-101B-9397-08002B2CF9AE}" pid="12" name="TitusGUID">
    <vt:lpwstr>fbf37dd8-1465-489a-801f-3cf9f9496f01</vt:lpwstr>
  </property>
  <property fmtid="{D5CDD505-2E9C-101B-9397-08002B2CF9AE}" pid="13" name="CTP_BU">
    <vt:lpwstr>NEXT GEN AND STANDARDS GROUP</vt:lpwstr>
  </property>
  <property fmtid="{D5CDD505-2E9C-101B-9397-08002B2CF9AE}" pid="14" name="CTP_TimeStamp">
    <vt:lpwstr>2018-02-05 18:52:22Z</vt:lpwstr>
  </property>
  <property fmtid="{D5CDD505-2E9C-101B-9397-08002B2CF9AE}" pid="15" name="CTPClassification">
    <vt:lpwstr>CTP_IC</vt:lpwstr>
  </property>
  <property fmtid="{D5CDD505-2E9C-101B-9397-08002B2CF9AE}" pid="16" name="KSOProductBuildVer">
    <vt:lpwstr>2052-10.8.0.6206</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1535330672</vt:lpwstr>
  </property>
</Properties>
</file>